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65" yWindow="510" windowWidth="21765" windowHeight="8010" tabRatio="970" activeTab="7"/>
  </bookViews>
  <sheets>
    <sheet name="分地区-公开表" sheetId="1" r:id="rId1"/>
    <sheet name="分地区-2021年预计" sheetId="4" r:id="rId2"/>
    <sheet name="一般性转移支付-公开表" sheetId="2" r:id="rId3"/>
    <sheet name="一般性转移支付2020预计" sheetId="3" r:id="rId4"/>
    <sheet name="2020年专项转移支付执行（一般公共预算）" sheetId="5" r:id="rId5"/>
    <sheet name="2021年专项转移支付预算（一般公共预算）" sheetId="6" r:id="rId6"/>
    <sheet name="2020年专项转移支付执行（政府性基金）" sheetId="7" r:id="rId7"/>
    <sheet name="2021年专项转移支付预算（政府性基金）" sheetId="8" r:id="rId8"/>
  </sheets>
  <calcPr calcId="144525"/>
</workbook>
</file>

<file path=xl/calcChain.xml><?xml version="1.0" encoding="utf-8"?>
<calcChain xmlns="http://schemas.openxmlformats.org/spreadsheetml/2006/main">
  <c r="M17" i="6" l="1"/>
  <c r="K17" i="6"/>
  <c r="J18" i="6"/>
  <c r="I18" i="6"/>
  <c r="H21" i="6"/>
  <c r="G20" i="6"/>
  <c r="F20" i="6"/>
  <c r="B10" i="7" l="1"/>
  <c r="M9" i="7"/>
  <c r="M7" i="7"/>
  <c r="L9" i="7"/>
  <c r="J9" i="7"/>
  <c r="J5" i="7"/>
  <c r="I9" i="7"/>
  <c r="H9" i="7"/>
  <c r="F9" i="7"/>
  <c r="F7" i="7"/>
  <c r="L13" i="5" l="1"/>
  <c r="L18" i="5"/>
  <c r="L15" i="5"/>
  <c r="L12" i="5"/>
  <c r="L11" i="5"/>
  <c r="L10" i="5"/>
  <c r="L9" i="5"/>
  <c r="L8" i="5"/>
  <c r="L5" i="5"/>
  <c r="J18" i="5"/>
  <c r="J17" i="5"/>
  <c r="J15" i="5"/>
  <c r="J13" i="5"/>
  <c r="J12" i="5"/>
  <c r="J11" i="5"/>
  <c r="J10" i="5"/>
  <c r="J9" i="5"/>
  <c r="J8" i="5"/>
  <c r="J7" i="5"/>
  <c r="J5" i="5"/>
  <c r="I12" i="5"/>
  <c r="I18" i="5"/>
  <c r="I17" i="5"/>
  <c r="I15" i="5"/>
  <c r="I13" i="5"/>
  <c r="I11" i="5"/>
  <c r="I10" i="5"/>
  <c r="I9" i="5"/>
  <c r="I8" i="5"/>
  <c r="I5" i="5"/>
  <c r="H17" i="5"/>
  <c r="H11" i="5"/>
  <c r="H18" i="5"/>
  <c r="H15" i="5"/>
  <c r="H13" i="5"/>
  <c r="H12" i="5"/>
  <c r="H10" i="5"/>
  <c r="H9" i="5"/>
  <c r="H8" i="5"/>
  <c r="H5" i="5"/>
  <c r="F18" i="5"/>
  <c r="F17" i="5"/>
  <c r="F15" i="5"/>
  <c r="F13" i="5"/>
  <c r="F12" i="5"/>
  <c r="F11" i="5"/>
  <c r="F10" i="5"/>
  <c r="F9" i="5"/>
  <c r="F8" i="5"/>
  <c r="F5" i="5"/>
  <c r="I4" i="7"/>
  <c r="J4" i="7"/>
  <c r="K4" i="7"/>
  <c r="L4" i="7"/>
  <c r="M4" i="7"/>
  <c r="C4" i="7"/>
  <c r="D4" i="7"/>
  <c r="E4" i="7"/>
  <c r="F4" i="7"/>
  <c r="G4" i="7"/>
  <c r="H4" i="7"/>
  <c r="H5" i="4" l="1"/>
  <c r="C4" i="8"/>
  <c r="D4" i="8"/>
  <c r="E4" i="8"/>
  <c r="F4" i="8"/>
  <c r="G4" i="8"/>
  <c r="H4" i="8"/>
  <c r="I4" i="8"/>
  <c r="J4" i="8"/>
  <c r="K4" i="8"/>
  <c r="L4" i="8"/>
  <c r="M4" i="8"/>
  <c r="B5" i="8"/>
  <c r="B6" i="8"/>
  <c r="B7" i="8"/>
  <c r="B8" i="8"/>
  <c r="B9" i="8"/>
  <c r="B4" i="7"/>
  <c r="B5" i="7"/>
  <c r="B6" i="7"/>
  <c r="B7" i="7"/>
  <c r="B8" i="7"/>
  <c r="B9" i="7"/>
  <c r="C4" i="6"/>
  <c r="D4" i="6"/>
  <c r="E4" i="6"/>
  <c r="F4" i="6"/>
  <c r="G4" i="6"/>
  <c r="H4" i="6"/>
  <c r="I4" i="6"/>
  <c r="J4" i="6"/>
  <c r="K4" i="6"/>
  <c r="L4" i="6"/>
  <c r="M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4" i="6"/>
  <c r="C4" i="5"/>
  <c r="D4" i="5"/>
  <c r="E4" i="5"/>
  <c r="F4" i="5"/>
  <c r="G4" i="5"/>
  <c r="H4" i="5"/>
  <c r="I4" i="5"/>
  <c r="J4" i="5"/>
  <c r="K4" i="5"/>
  <c r="L4" i="5"/>
  <c r="M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4" i="5"/>
  <c r="B4" i="8" l="1"/>
  <c r="B4" i="6"/>
  <c r="B4" i="5"/>
  <c r="H5" i="1"/>
  <c r="C4" i="3" l="1"/>
  <c r="B4" i="3"/>
  <c r="B3" i="2"/>
  <c r="G5" i="4"/>
  <c r="F5" i="4"/>
  <c r="G5" i="1"/>
  <c r="F5" i="1"/>
</calcChain>
</file>

<file path=xl/sharedStrings.xml><?xml version="1.0" encoding="utf-8"?>
<sst xmlns="http://schemas.openxmlformats.org/spreadsheetml/2006/main" count="221" uniqueCount="102">
  <si>
    <t>单位：万元</t>
    <phoneticPr fontId="2" type="noConversion"/>
  </si>
  <si>
    <t>返还性收入</t>
  </si>
  <si>
    <t>一般性转移支付收入</t>
  </si>
  <si>
    <t>专项转移支付收入</t>
    <phoneticPr fontId="2" type="noConversion"/>
  </si>
  <si>
    <t>合计</t>
    <phoneticPr fontId="2" type="noConversion"/>
  </si>
  <si>
    <t>济宁</t>
  </si>
  <si>
    <t>任城区</t>
  </si>
  <si>
    <t>兖州区</t>
  </si>
  <si>
    <t>曲阜市</t>
  </si>
  <si>
    <t>泗水县</t>
  </si>
  <si>
    <t>邹城市</t>
  </si>
  <si>
    <t>微山县</t>
  </si>
  <si>
    <t>鱼台县</t>
  </si>
  <si>
    <t>金乡县</t>
  </si>
  <si>
    <t>嘉祥县</t>
  </si>
  <si>
    <t>汶上县</t>
  </si>
  <si>
    <t>梁山县</t>
  </si>
  <si>
    <t>单位：万元</t>
    <phoneticPr fontId="2" type="noConversion"/>
  </si>
  <si>
    <t>合计</t>
    <phoneticPr fontId="2" type="noConversion"/>
  </si>
  <si>
    <t>均衡性转移支付收入</t>
  </si>
  <si>
    <t>县级基本财力保障机制奖补资金收入</t>
  </si>
  <si>
    <t>资源枯竭型城市转移支付补助收入</t>
  </si>
  <si>
    <t>企业事业单位划转补助收入</t>
  </si>
  <si>
    <t>产粮（油）大县奖励资金收入</t>
  </si>
  <si>
    <t>其他一般性转移支付收入</t>
  </si>
  <si>
    <t>贫困地区转移支付收入</t>
  </si>
  <si>
    <t>项  目</t>
    <phoneticPr fontId="2" type="noConversion"/>
  </si>
  <si>
    <t>2020年市级对下安排的税收返还及转移支付分地区预算情况表</t>
    <phoneticPr fontId="2" type="noConversion"/>
  </si>
  <si>
    <t>2020年市级安排的一般性转移支付项目情况表</t>
    <phoneticPr fontId="2" type="noConversion"/>
  </si>
  <si>
    <t>固定数额补助收入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</si>
  <si>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</si>
  <si>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</si>
  <si>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</si>
  <si>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</si>
  <si>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</si>
  <si>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</si>
  <si>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</si>
  <si>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</si>
  <si>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注：市级对下安排转移支付含市级转拨的中央、省资金。</t>
    <phoneticPr fontId="2" type="noConversion"/>
  </si>
  <si>
    <t>县市区</t>
    <phoneticPr fontId="2" type="noConversion"/>
  </si>
  <si>
    <t>其他支出(类)</t>
  </si>
  <si>
    <t>粮油物资储备支出</t>
  </si>
  <si>
    <t>住房保障支出</t>
  </si>
  <si>
    <t>金融支出</t>
  </si>
  <si>
    <t>商业服务业等支出</t>
  </si>
  <si>
    <t>资源勘探信息等支出</t>
  </si>
  <si>
    <t>交通运输支出</t>
  </si>
  <si>
    <t>农林水支出</t>
  </si>
  <si>
    <t>城乡社区支出</t>
  </si>
  <si>
    <t>节能环保支出</t>
  </si>
  <si>
    <t>社会保障和就业支出</t>
  </si>
  <si>
    <t>科学技术支出</t>
  </si>
  <si>
    <t>教育支出</t>
  </si>
  <si>
    <t>公共安全支出</t>
  </si>
  <si>
    <t>国防支出</t>
  </si>
  <si>
    <t>一般公共服务支出</t>
  </si>
  <si>
    <t>兖州市</t>
  </si>
  <si>
    <t>小计</t>
  </si>
  <si>
    <t>科目</t>
    <phoneticPr fontId="16" type="noConversion"/>
  </si>
  <si>
    <t>单位：万元</t>
    <phoneticPr fontId="16" type="noConversion"/>
  </si>
  <si>
    <t>科目</t>
    <phoneticPr fontId="16" type="noConversion"/>
  </si>
  <si>
    <t>单位：万元</t>
    <phoneticPr fontId="16" type="noConversion"/>
  </si>
  <si>
    <t>其他支出</t>
  </si>
  <si>
    <t>合  计</t>
  </si>
  <si>
    <t>梁山</t>
  </si>
  <si>
    <t>汶上</t>
  </si>
  <si>
    <t>嘉祥</t>
  </si>
  <si>
    <t>金乡</t>
  </si>
  <si>
    <t>鱼台</t>
  </si>
  <si>
    <t>微山</t>
  </si>
  <si>
    <t>邹城</t>
  </si>
  <si>
    <t>泗水</t>
  </si>
  <si>
    <t>曲阜</t>
  </si>
  <si>
    <t>兖州</t>
  </si>
  <si>
    <t>任城</t>
  </si>
  <si>
    <t>单位：万元</t>
    <phoneticPr fontId="16" type="noConversion"/>
  </si>
  <si>
    <t>2020年市对各县区专项转移支付执行情况表（一般）</t>
    <phoneticPr fontId="16" type="noConversion"/>
  </si>
  <si>
    <t>2021年市对各县区专项转移支付预算情况表（一般）</t>
    <phoneticPr fontId="16" type="noConversion"/>
  </si>
  <si>
    <t>2020年市对各县区专项转移支付执行情况表（基金）</t>
    <phoneticPr fontId="16" type="noConversion"/>
  </si>
  <si>
    <t>2021年市对各县区专项转移支付预算情况表（基金）</t>
    <phoneticPr fontId="16" type="noConversion"/>
  </si>
  <si>
    <t>结算补助收入</t>
  </si>
  <si>
    <t>重点生态功能区转移支付收入</t>
  </si>
  <si>
    <t>革命老区转移支付收入</t>
  </si>
  <si>
    <t>医疗卫生共同财政事权转移支付收入</t>
  </si>
  <si>
    <t>灾害防治及应急管理共同财政事权转移支付收入</t>
  </si>
  <si>
    <t>2021年市级安排的一般性转移支付项目情况表</t>
    <phoneticPr fontId="2" type="noConversion"/>
  </si>
  <si>
    <t>2020年执行数</t>
    <phoneticPr fontId="2" type="noConversion"/>
  </si>
  <si>
    <t>2021年预算数</t>
    <phoneticPr fontId="2" type="noConversion"/>
  </si>
  <si>
    <t>2021年市级对下安排的税收返还及转移支付分地区预算情况表</t>
    <phoneticPr fontId="2" type="noConversion"/>
  </si>
  <si>
    <t>卫生健康支出</t>
  </si>
  <si>
    <t>自然资源海洋气象等支出</t>
  </si>
  <si>
    <t>灾害防治及应急管理支出</t>
  </si>
  <si>
    <t>文化旅游体育与传媒支出</t>
    <phoneticPr fontId="2" type="noConversion"/>
  </si>
  <si>
    <t>资源勘探工业信息等支出</t>
    <phoneticPr fontId="2" type="noConversion"/>
  </si>
  <si>
    <t>文化旅游体育与传媒支出</t>
    <phoneticPr fontId="2" type="noConversion"/>
  </si>
  <si>
    <t>卫生健康支出</t>
    <phoneticPr fontId="2" type="noConversion"/>
  </si>
  <si>
    <t>自然资源海洋气象等支出</t>
    <phoneticPr fontId="2" type="noConversion"/>
  </si>
  <si>
    <t>灾害防治及应急管理支出</t>
    <phoneticPr fontId="2" type="noConversion"/>
  </si>
  <si>
    <t>农林水支出</t>
    <phoneticPr fontId="2" type="noConversion"/>
  </si>
  <si>
    <t>农林水支出</t>
    <phoneticPr fontId="2" type="noConversion"/>
  </si>
  <si>
    <t>其他支出</t>
    <phoneticPr fontId="2" type="noConversion"/>
  </si>
  <si>
    <t>抗疫特别国债安排的支出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</si>
</sst>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name val="方正大标宋简体"/>
      <family val="3"/>
      <charset val="134"/>
    </font>
    <font>
      <sz val="10"/>
      <name val="宋体"/>
      <family val="3"/>
      <charset val="134"/>
    </font>
    <font>
      <sz val="12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sz val="9"/>
      <name val="Arial"/>
      <family val="2"/>
    </font>
    <font>
      <b/>
      <sz val="18"/>
      <color theme="1"/>
      <name val="宋体"/>
      <family val="3"/>
      <charset val="134"/>
      <scheme val="minor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1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Fill="1" applyAlignment="1" applyProtection="1">
      <alignment horizontal="right" vertical="center"/>
    </xf>
    <xf numFmtId="0" fontId="4" fillId="0" borderId="0" xfId="1" applyFont="1" applyAlignment="1">
      <alignment horizontal="right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/>
    </xf>
    <xf numFmtId="0" fontId="1" fillId="2" borderId="0" xfId="1" applyFill="1" applyAlignment="1">
      <alignment vertical="center"/>
    </xf>
    <xf numFmtId="0" fontId="8" fillId="3" borderId="3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3" fontId="9" fillId="0" borderId="3" xfId="2" applyNumberFormat="1" applyFont="1" applyFill="1" applyBorder="1" applyAlignment="1">
      <alignment horizontal="center" vertical="center" shrinkToFit="1"/>
    </xf>
    <xf numFmtId="3" fontId="7" fillId="0" borderId="3" xfId="2" applyNumberFormat="1" applyFont="1" applyFill="1" applyBorder="1" applyAlignment="1">
      <alignment horizontal="center" vertical="center" shrinkToFit="1"/>
    </xf>
    <xf numFmtId="176" fontId="1" fillId="0" borderId="0" xfId="1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11" fillId="2" borderId="3" xfId="1" applyFont="1" applyFill="1" applyBorder="1" applyAlignment="1" applyProtection="1">
      <alignment horizontal="left" vertical="center" wrapText="1"/>
    </xf>
    <xf numFmtId="176" fontId="1" fillId="0" borderId="3" xfId="1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1" fillId="0" borderId="0" xfId="1" applyNumberFormat="1" applyFont="1" applyAlignment="1">
      <alignment vertical="center"/>
    </xf>
    <xf numFmtId="0" fontId="13" fillId="0" borderId="3" xfId="1" applyFont="1" applyFill="1" applyBorder="1" applyAlignment="1">
      <alignment horizontal="center" vertical="center" shrinkToFit="1"/>
    </xf>
    <xf numFmtId="0" fontId="11" fillId="2" borderId="2" xfId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14" fillId="0" borderId="7" xfId="0" applyNumberFormat="1" applyFont="1" applyFill="1" applyBorder="1" applyAlignment="1" applyProtection="1">
      <alignment horizontal="center" vertical="center" wrapText="1"/>
    </xf>
    <xf numFmtId="0" fontId="15" fillId="4" borderId="3" xfId="0" applyNumberFormat="1" applyFont="1" applyFill="1" applyBorder="1" applyAlignment="1" applyProtection="1">
      <alignment horizontal="left" vertical="center"/>
    </xf>
    <xf numFmtId="0" fontId="0" fillId="0" borderId="3" xfId="0" applyBorder="1" applyAlignment="1"/>
    <xf numFmtId="176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left" vertical="center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0" fontId="15" fillId="4" borderId="3" xfId="0" applyNumberFormat="1" applyFont="1" applyFill="1" applyBorder="1" applyAlignment="1" applyProtection="1">
      <alignment vertical="center"/>
    </xf>
    <xf numFmtId="0" fontId="14" fillId="0" borderId="3" xfId="0" applyNumberFormat="1" applyFont="1" applyFill="1" applyBorder="1" applyAlignment="1" applyProtection="1">
      <alignment vertical="center"/>
    </xf>
    <xf numFmtId="0" fontId="14" fillId="0" borderId="10" xfId="0" applyNumberFormat="1" applyFont="1" applyFill="1" applyBorder="1" applyAlignment="1" applyProtection="1">
      <alignment vertical="center" wrapText="1"/>
    </xf>
    <xf numFmtId="0" fontId="14" fillId="0" borderId="10" xfId="0" applyNumberFormat="1" applyFont="1" applyFill="1" applyBorder="1" applyAlignment="1" applyProtection="1">
      <alignment vertical="center"/>
    </xf>
    <xf numFmtId="0" fontId="14" fillId="0" borderId="9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14" fillId="0" borderId="9" xfId="0" applyNumberFormat="1" applyFont="1" applyFill="1" applyBorder="1" applyAlignment="1" applyProtection="1">
      <alignment horizontal="center"/>
    </xf>
    <xf numFmtId="0" fontId="0" fillId="0" borderId="3" xfId="0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1" fillId="2" borderId="5" xfId="1" applyFont="1" applyFill="1" applyBorder="1" applyAlignment="1" applyProtection="1">
      <alignment horizontal="left" vertical="center" wrapText="1"/>
    </xf>
    <xf numFmtId="0" fontId="11" fillId="2" borderId="6" xfId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vertical="center"/>
    </xf>
    <xf numFmtId="0" fontId="18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176" fontId="14" fillId="0" borderId="10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vertical="center"/>
    </xf>
  </cellXfs>
  <cellStyles count="4">
    <cellStyle name="常规" xfId="0" builtinId="0"/>
    <cellStyle name="常规 2 2" xfId="1"/>
    <cellStyle name="常规 55" xfId="3"/>
    <cellStyle name="常规_市直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8"/>
  <sheetViews>
    <sheetView showZeros="0" workbookViewId="0">
      <selection activeCell="H6" sqref="H6:H16"/>
    </sheetView>
  </sheetViews>
  <sheetFormatPr defaultColWidth="10" defaultRowHeight="14.25"/>
  <cols>
    <col min="1" max="1" width="10.875" style="2" customWidth="1"/>
    <col min="2" max="5" width="0" style="2" hidden="1" customWidth="1"/>
    <col min="6" max="6" width="18.875" style="2" customWidth="1"/>
    <col min="7" max="7" width="21.125" style="2" customWidth="1"/>
    <col min="8" max="8" width="18.875" style="2" customWidth="1"/>
    <col min="9" max="9" width="10.5" style="2" bestFit="1" customWidth="1"/>
    <col min="10" max="16384" width="10" style="2"/>
  </cols>
  <sheetData>
    <row r="1" spans="1:10">
      <c r="A1" s="1"/>
    </row>
    <row r="2" spans="1:10" ht="63" customHeight="1">
      <c r="A2" s="47" t="s">
        <v>27</v>
      </c>
      <c r="B2" s="47"/>
      <c r="C2" s="47"/>
      <c r="D2" s="47"/>
      <c r="E2" s="47"/>
      <c r="F2" s="47"/>
      <c r="G2" s="47"/>
      <c r="H2" s="47"/>
    </row>
    <row r="3" spans="1:10">
      <c r="A3" s="3"/>
      <c r="B3" s="3"/>
      <c r="C3" s="3"/>
      <c r="D3" s="3"/>
      <c r="E3" s="3"/>
      <c r="F3" s="3"/>
      <c r="G3" s="3"/>
      <c r="H3" s="4" t="s">
        <v>0</v>
      </c>
    </row>
    <row r="4" spans="1:10" s="9" customFormat="1" ht="34.5" customHeight="1">
      <c r="A4" s="5" t="s">
        <v>39</v>
      </c>
      <c r="B4" s="6"/>
      <c r="C4" s="7"/>
      <c r="D4" s="7"/>
      <c r="E4" s="7"/>
      <c r="F4" s="8" t="s">
        <v>1</v>
      </c>
      <c r="G4" s="8" t="s">
        <v>2</v>
      </c>
      <c r="H4" s="8" t="s">
        <v>3</v>
      </c>
    </row>
    <row r="5" spans="1:10" s="1" customFormat="1" ht="24" customHeight="1">
      <c r="A5" s="13" t="s">
        <v>4</v>
      </c>
      <c r="B5" s="10">
        <v>2</v>
      </c>
      <c r="C5" s="10"/>
      <c r="D5" s="10" t="s">
        <v>5</v>
      </c>
      <c r="E5" s="10">
        <v>0</v>
      </c>
      <c r="F5" s="19">
        <f>SUM(F6:F16)</f>
        <v>147638</v>
      </c>
      <c r="G5" s="19">
        <f>SUM(G6:G16)</f>
        <v>1552006</v>
      </c>
      <c r="H5" s="19">
        <f>SUM(H6:H16)</f>
        <v>256169</v>
      </c>
      <c r="I5" s="20"/>
    </row>
    <row r="6" spans="1:10" s="1" customFormat="1" ht="24" customHeight="1">
      <c r="A6" s="12" t="s">
        <v>6</v>
      </c>
      <c r="B6" s="11">
        <v>3</v>
      </c>
      <c r="C6" s="11"/>
      <c r="D6" s="11" t="s">
        <v>5</v>
      </c>
      <c r="E6" s="11"/>
      <c r="F6" s="17">
        <v>27466</v>
      </c>
      <c r="G6" s="17">
        <v>75338</v>
      </c>
      <c r="H6" s="18">
        <v>26410</v>
      </c>
    </row>
    <row r="7" spans="1:10" s="1" customFormat="1" ht="24" customHeight="1">
      <c r="A7" s="12" t="s">
        <v>7</v>
      </c>
      <c r="B7" s="11">
        <v>3</v>
      </c>
      <c r="C7" s="11"/>
      <c r="D7" s="11" t="s">
        <v>5</v>
      </c>
      <c r="E7" s="11"/>
      <c r="F7" s="17">
        <v>13373</v>
      </c>
      <c r="G7" s="17">
        <v>58551</v>
      </c>
      <c r="H7" s="18">
        <v>22404</v>
      </c>
    </row>
    <row r="8" spans="1:10" s="1" customFormat="1" ht="24" customHeight="1">
      <c r="A8" s="12" t="s">
        <v>8</v>
      </c>
      <c r="B8" s="11">
        <v>3</v>
      </c>
      <c r="C8" s="11"/>
      <c r="D8" s="11" t="s">
        <v>5</v>
      </c>
      <c r="E8" s="11"/>
      <c r="F8" s="17">
        <v>25346</v>
      </c>
      <c r="G8" s="17">
        <v>89575</v>
      </c>
      <c r="H8" s="18">
        <v>22558</v>
      </c>
    </row>
    <row r="9" spans="1:10" s="1" customFormat="1" ht="24" customHeight="1">
      <c r="A9" s="12" t="s">
        <v>9</v>
      </c>
      <c r="B9" s="11">
        <v>3</v>
      </c>
      <c r="C9" s="11">
        <v>1</v>
      </c>
      <c r="D9" s="11" t="s">
        <v>5</v>
      </c>
      <c r="E9" s="11"/>
      <c r="F9" s="17">
        <v>13083</v>
      </c>
      <c r="G9" s="17">
        <v>223923</v>
      </c>
      <c r="H9" s="18">
        <v>18877</v>
      </c>
    </row>
    <row r="10" spans="1:10" s="1" customFormat="1" ht="24" customHeight="1">
      <c r="A10" s="12" t="s">
        <v>10</v>
      </c>
      <c r="B10" s="11">
        <v>3</v>
      </c>
      <c r="C10" s="11"/>
      <c r="D10" s="11" t="s">
        <v>5</v>
      </c>
      <c r="E10" s="11"/>
      <c r="F10" s="17">
        <v>10836</v>
      </c>
      <c r="G10" s="17">
        <v>73896</v>
      </c>
      <c r="H10" s="18">
        <v>31356</v>
      </c>
    </row>
    <row r="11" spans="1:10" s="1" customFormat="1" ht="24" customHeight="1">
      <c r="A11" s="12" t="s">
        <v>11</v>
      </c>
      <c r="B11" s="11">
        <v>3</v>
      </c>
      <c r="C11" s="11"/>
      <c r="D11" s="11" t="s">
        <v>5</v>
      </c>
      <c r="E11" s="11"/>
      <c r="F11" s="17">
        <v>386</v>
      </c>
      <c r="G11" s="17">
        <v>117156</v>
      </c>
      <c r="H11" s="18">
        <v>34109</v>
      </c>
    </row>
    <row r="12" spans="1:10" s="1" customFormat="1" ht="24" customHeight="1">
      <c r="A12" s="12" t="s">
        <v>12</v>
      </c>
      <c r="B12" s="11">
        <v>3</v>
      </c>
      <c r="C12" s="11"/>
      <c r="D12" s="11" t="s">
        <v>5</v>
      </c>
      <c r="E12" s="11"/>
      <c r="F12" s="17">
        <v>11007</v>
      </c>
      <c r="G12" s="17">
        <v>147822</v>
      </c>
      <c r="H12" s="18">
        <v>16876</v>
      </c>
    </row>
    <row r="13" spans="1:10" s="1" customFormat="1" ht="24" customHeight="1">
      <c r="A13" s="12" t="s">
        <v>13</v>
      </c>
      <c r="B13" s="11">
        <v>3</v>
      </c>
      <c r="C13" s="11">
        <v>1</v>
      </c>
      <c r="D13" s="11" t="s">
        <v>5</v>
      </c>
      <c r="E13" s="11"/>
      <c r="F13" s="17">
        <v>15328</v>
      </c>
      <c r="G13" s="17">
        <v>193681</v>
      </c>
      <c r="H13" s="18">
        <v>16834</v>
      </c>
    </row>
    <row r="14" spans="1:10" s="1" customFormat="1" ht="24" customHeight="1">
      <c r="A14" s="12" t="s">
        <v>14</v>
      </c>
      <c r="B14" s="11">
        <v>3</v>
      </c>
      <c r="C14" s="11"/>
      <c r="D14" s="11" t="s">
        <v>5</v>
      </c>
      <c r="E14" s="11"/>
      <c r="F14" s="17">
        <v>8449</v>
      </c>
      <c r="G14" s="17">
        <v>172546</v>
      </c>
      <c r="H14" s="18">
        <v>19349</v>
      </c>
    </row>
    <row r="15" spans="1:10" s="1" customFormat="1" ht="24" customHeight="1">
      <c r="A15" s="12" t="s">
        <v>15</v>
      </c>
      <c r="B15" s="11">
        <v>3</v>
      </c>
      <c r="C15" s="11"/>
      <c r="D15" s="11" t="s">
        <v>5</v>
      </c>
      <c r="E15" s="11"/>
      <c r="F15" s="17">
        <v>9422</v>
      </c>
      <c r="G15" s="17">
        <v>201599</v>
      </c>
      <c r="H15" s="18">
        <v>17507</v>
      </c>
    </row>
    <row r="16" spans="1:10" s="1" customFormat="1" ht="24" customHeight="1">
      <c r="A16" s="12" t="s">
        <v>16</v>
      </c>
      <c r="B16" s="11">
        <v>3</v>
      </c>
      <c r="C16" s="11"/>
      <c r="D16" s="11" t="s">
        <v>5</v>
      </c>
      <c r="E16" s="11"/>
      <c r="F16" s="17">
        <v>12942</v>
      </c>
      <c r="G16" s="17">
        <v>197919</v>
      </c>
      <c r="H16" s="18">
        <v>29889</v>
      </c>
      <c r="J16" s="2"/>
    </row>
    <row r="17" spans="1:8" ht="24.6" customHeight="1">
      <c r="A17" s="48" t="s">
        <v>38</v>
      </c>
      <c r="B17" s="49"/>
      <c r="C17" s="49"/>
      <c r="D17" s="49"/>
      <c r="E17" s="49"/>
      <c r="F17" s="49"/>
      <c r="G17" s="49"/>
      <c r="H17" s="49"/>
    </row>
    <row r="18" spans="1:8">
      <c r="G18" s="14"/>
      <c r="H18" s="14"/>
    </row>
  </sheetData>
  <mergeCells count="2">
    <mergeCell ref="A2:H2"/>
    <mergeCell ref="A17:H1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8"/>
  <sheetViews>
    <sheetView showZeros="0" workbookViewId="0">
      <selection activeCell="A28" sqref="A28"/>
    </sheetView>
  </sheetViews>
  <sheetFormatPr defaultColWidth="10" defaultRowHeight="14.25"/>
  <cols>
    <col min="1" max="1" width="10.875" style="2" customWidth="1"/>
    <col min="2" max="5" width="0" style="2" hidden="1" customWidth="1"/>
    <col min="6" max="6" width="18.875" style="2" customWidth="1"/>
    <col min="7" max="7" width="21.125" style="2" customWidth="1"/>
    <col min="8" max="8" width="18.875" style="2" customWidth="1"/>
    <col min="9" max="9" width="10.5" style="2" bestFit="1" customWidth="1"/>
    <col min="10" max="16384" width="10" style="2"/>
  </cols>
  <sheetData>
    <row r="1" spans="1:25">
      <c r="A1" s="1"/>
    </row>
    <row r="2" spans="1:25" ht="63" customHeight="1">
      <c r="A2" s="47" t="s">
        <v>88</v>
      </c>
      <c r="B2" s="47"/>
      <c r="C2" s="47"/>
      <c r="D2" s="47"/>
      <c r="E2" s="47"/>
      <c r="F2" s="47"/>
      <c r="G2" s="47"/>
      <c r="H2" s="47"/>
    </row>
    <row r="3" spans="1:25">
      <c r="A3" s="3"/>
      <c r="B3" s="3"/>
      <c r="C3" s="3"/>
      <c r="D3" s="3"/>
      <c r="E3" s="3"/>
      <c r="F3" s="3"/>
      <c r="G3" s="3"/>
      <c r="H3" s="4" t="s">
        <v>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9" customFormat="1" ht="34.5" customHeight="1">
      <c r="A4" s="5"/>
      <c r="B4" s="6"/>
      <c r="C4" s="7"/>
      <c r="D4" s="7"/>
      <c r="E4" s="7"/>
      <c r="F4" s="8" t="s">
        <v>1</v>
      </c>
      <c r="G4" s="8" t="s">
        <v>2</v>
      </c>
      <c r="H4" s="8" t="s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1" customFormat="1" ht="24" customHeight="1">
      <c r="A5" s="13" t="s">
        <v>4</v>
      </c>
      <c r="B5" s="10">
        <v>2</v>
      </c>
      <c r="C5" s="10"/>
      <c r="D5" s="10" t="s">
        <v>5</v>
      </c>
      <c r="E5" s="10">
        <v>0</v>
      </c>
      <c r="F5" s="19">
        <f>SUM(F6:F16)</f>
        <v>147638</v>
      </c>
      <c r="G5" s="19">
        <f>SUM(G6:G16)</f>
        <v>1598570</v>
      </c>
      <c r="H5" s="19">
        <f>SUM(H6:H16)</f>
        <v>255700</v>
      </c>
      <c r="I5" s="20"/>
    </row>
    <row r="6" spans="1:25" s="1" customFormat="1" ht="24" customHeight="1">
      <c r="A6" s="12" t="s">
        <v>6</v>
      </c>
      <c r="B6" s="11">
        <v>3</v>
      </c>
      <c r="C6" s="11"/>
      <c r="D6" s="11" t="s">
        <v>5</v>
      </c>
      <c r="E6" s="11"/>
      <c r="F6" s="17">
        <v>27466</v>
      </c>
      <c r="G6" s="17">
        <v>77600</v>
      </c>
      <c r="H6" s="18">
        <v>26400</v>
      </c>
    </row>
    <row r="7" spans="1:25" s="1" customFormat="1" ht="24" customHeight="1">
      <c r="A7" s="12" t="s">
        <v>7</v>
      </c>
      <c r="B7" s="11">
        <v>3</v>
      </c>
      <c r="C7" s="11"/>
      <c r="D7" s="11" t="s">
        <v>5</v>
      </c>
      <c r="E7" s="11"/>
      <c r="F7" s="17">
        <v>13373</v>
      </c>
      <c r="G7" s="17">
        <v>60310</v>
      </c>
      <c r="H7" s="18">
        <v>22400</v>
      </c>
    </row>
    <row r="8" spans="1:25" s="1" customFormat="1" ht="24" customHeight="1">
      <c r="A8" s="12" t="s">
        <v>8</v>
      </c>
      <c r="B8" s="11">
        <v>3</v>
      </c>
      <c r="C8" s="11"/>
      <c r="D8" s="11" t="s">
        <v>5</v>
      </c>
      <c r="E8" s="11"/>
      <c r="F8" s="17">
        <v>25346</v>
      </c>
      <c r="G8" s="17">
        <v>92260</v>
      </c>
      <c r="H8" s="18">
        <v>22500</v>
      </c>
    </row>
    <row r="9" spans="1:25" s="1" customFormat="1" ht="24" customHeight="1">
      <c r="A9" s="12" t="s">
        <v>9</v>
      </c>
      <c r="B9" s="11">
        <v>3</v>
      </c>
      <c r="C9" s="11">
        <v>1</v>
      </c>
      <c r="D9" s="11" t="s">
        <v>5</v>
      </c>
      <c r="E9" s="11"/>
      <c r="F9" s="17">
        <v>13083</v>
      </c>
      <c r="G9" s="17">
        <v>230640</v>
      </c>
      <c r="H9" s="18">
        <v>18800</v>
      </c>
    </row>
    <row r="10" spans="1:25" s="1" customFormat="1" ht="24" customHeight="1">
      <c r="A10" s="12" t="s">
        <v>10</v>
      </c>
      <c r="B10" s="11">
        <v>3</v>
      </c>
      <c r="C10" s="11"/>
      <c r="D10" s="11" t="s">
        <v>5</v>
      </c>
      <c r="E10" s="11"/>
      <c r="F10" s="17">
        <v>10836</v>
      </c>
      <c r="G10" s="17">
        <v>76110</v>
      </c>
      <c r="H10" s="18">
        <v>31300</v>
      </c>
    </row>
    <row r="11" spans="1:25" s="1" customFormat="1" ht="24" customHeight="1">
      <c r="A11" s="12" t="s">
        <v>11</v>
      </c>
      <c r="B11" s="11">
        <v>3</v>
      </c>
      <c r="C11" s="11"/>
      <c r="D11" s="11" t="s">
        <v>5</v>
      </c>
      <c r="E11" s="11"/>
      <c r="F11" s="17">
        <v>386</v>
      </c>
      <c r="G11" s="17">
        <v>120670</v>
      </c>
      <c r="H11" s="18">
        <v>34100</v>
      </c>
    </row>
    <row r="12" spans="1:25" s="1" customFormat="1" ht="24" customHeight="1">
      <c r="A12" s="12" t="s">
        <v>12</v>
      </c>
      <c r="B12" s="11">
        <v>3</v>
      </c>
      <c r="C12" s="11"/>
      <c r="D12" s="11" t="s">
        <v>5</v>
      </c>
      <c r="E12" s="11"/>
      <c r="F12" s="17">
        <v>11007</v>
      </c>
      <c r="G12" s="17">
        <v>152260</v>
      </c>
      <c r="H12" s="18">
        <v>16800</v>
      </c>
    </row>
    <row r="13" spans="1:25" s="1" customFormat="1" ht="24" customHeight="1">
      <c r="A13" s="12" t="s">
        <v>13</v>
      </c>
      <c r="B13" s="11">
        <v>3</v>
      </c>
      <c r="C13" s="11">
        <v>1</v>
      </c>
      <c r="D13" s="11" t="s">
        <v>5</v>
      </c>
      <c r="E13" s="11"/>
      <c r="F13" s="17">
        <v>15328</v>
      </c>
      <c r="G13" s="17">
        <v>199490</v>
      </c>
      <c r="H13" s="18">
        <v>16800</v>
      </c>
    </row>
    <row r="14" spans="1:25" s="1" customFormat="1" ht="24" customHeight="1">
      <c r="A14" s="12" t="s">
        <v>14</v>
      </c>
      <c r="B14" s="11">
        <v>3</v>
      </c>
      <c r="C14" s="11"/>
      <c r="D14" s="11" t="s">
        <v>5</v>
      </c>
      <c r="E14" s="11"/>
      <c r="F14" s="17">
        <v>8449</v>
      </c>
      <c r="G14" s="17">
        <v>177720</v>
      </c>
      <c r="H14" s="18">
        <v>19300</v>
      </c>
    </row>
    <row r="15" spans="1:25" s="1" customFormat="1" ht="24" customHeight="1">
      <c r="A15" s="12" t="s">
        <v>15</v>
      </c>
      <c r="B15" s="11">
        <v>3</v>
      </c>
      <c r="C15" s="11"/>
      <c r="D15" s="11" t="s">
        <v>5</v>
      </c>
      <c r="E15" s="11"/>
      <c r="F15" s="17">
        <v>9422</v>
      </c>
      <c r="G15" s="17">
        <v>207650</v>
      </c>
      <c r="H15" s="18">
        <v>17500</v>
      </c>
    </row>
    <row r="16" spans="1:25" s="1" customFormat="1" ht="24" customHeight="1">
      <c r="A16" s="12" t="s">
        <v>16</v>
      </c>
      <c r="B16" s="11">
        <v>3</v>
      </c>
      <c r="C16" s="11"/>
      <c r="D16" s="11" t="s">
        <v>5</v>
      </c>
      <c r="E16" s="11"/>
      <c r="F16" s="17">
        <v>12942</v>
      </c>
      <c r="G16" s="17">
        <v>203860</v>
      </c>
      <c r="H16" s="18">
        <v>29800</v>
      </c>
    </row>
    <row r="17" spans="7:8">
      <c r="G17" s="14"/>
      <c r="H17" s="14"/>
    </row>
    <row r="18" spans="7:8">
      <c r="G18" s="14"/>
      <c r="H18" s="14"/>
    </row>
  </sheetData>
  <mergeCells count="1">
    <mergeCell ref="A2:H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25"/>
  <sheetViews>
    <sheetView showZeros="0" workbookViewId="0">
      <selection activeCell="A15" sqref="A15"/>
    </sheetView>
  </sheetViews>
  <sheetFormatPr defaultRowHeight="13.5"/>
  <cols>
    <col min="1" max="1" width="52.125" customWidth="1"/>
    <col min="2" max="2" width="19.375" customWidth="1"/>
  </cols>
  <sheetData>
    <row r="1" spans="1:2" ht="35.25" customHeight="1">
      <c r="A1" s="50" t="s">
        <v>28</v>
      </c>
      <c r="B1" s="50"/>
    </row>
    <row r="2" spans="1:2" ht="21" customHeight="1">
      <c r="B2" t="s">
        <v>17</v>
      </c>
    </row>
    <row r="3" spans="1:2" ht="24.6" customHeight="1">
      <c r="A3" s="15" t="s">
        <v>18</v>
      </c>
      <c r="B3" s="21">
        <f>SUM(B4:B24)</f>
        <v>1552006</v>
      </c>
    </row>
    <row r="4" spans="1:2" ht="24" customHeight="1">
      <c r="A4" s="16" t="s">
        <v>19</v>
      </c>
      <c r="B4" s="21">
        <v>85032</v>
      </c>
    </row>
    <row r="5" spans="1:2" ht="24" customHeight="1">
      <c r="A5" s="16" t="s">
        <v>20</v>
      </c>
      <c r="B5" s="21">
        <v>424484</v>
      </c>
    </row>
    <row r="6" spans="1:2" ht="24" customHeight="1">
      <c r="A6" s="16" t="s">
        <v>80</v>
      </c>
      <c r="B6" s="21">
        <v>-126045</v>
      </c>
    </row>
    <row r="7" spans="1:2" ht="24" customHeight="1">
      <c r="A7" s="16" t="s">
        <v>21</v>
      </c>
      <c r="B7" s="21">
        <v>5000</v>
      </c>
    </row>
    <row r="8" spans="1:2" ht="24" customHeight="1">
      <c r="A8" s="16" t="s">
        <v>22</v>
      </c>
      <c r="B8" s="21">
        <v>7224</v>
      </c>
    </row>
    <row r="9" spans="1:2" ht="24" customHeight="1">
      <c r="A9" s="16" t="s">
        <v>23</v>
      </c>
      <c r="B9" s="21">
        <v>21460</v>
      </c>
    </row>
    <row r="10" spans="1:2" ht="24" customHeight="1">
      <c r="A10" s="16" t="s">
        <v>81</v>
      </c>
      <c r="B10" s="21">
        <v>6336</v>
      </c>
    </row>
    <row r="11" spans="1:2" ht="24" customHeight="1">
      <c r="A11" s="16" t="s">
        <v>29</v>
      </c>
      <c r="B11" s="21">
        <v>76647</v>
      </c>
    </row>
    <row r="12" spans="1:2" ht="24" customHeight="1">
      <c r="A12" s="16" t="s">
        <v>82</v>
      </c>
      <c r="B12" s="21">
        <v>7444</v>
      </c>
    </row>
    <row r="13" spans="1:2" ht="24" customHeight="1">
      <c r="A13" s="16" t="s">
        <v>25</v>
      </c>
      <c r="B13" s="21">
        <v>24643</v>
      </c>
    </row>
    <row r="14" spans="1:2" ht="24" customHeight="1">
      <c r="A14" s="16" t="s">
        <v>30</v>
      </c>
      <c r="B14" s="21">
        <v>22603</v>
      </c>
    </row>
    <row r="15" spans="1:2" ht="24" customHeight="1">
      <c r="A15" s="16" t="s">
        <v>31</v>
      </c>
      <c r="B15" s="21">
        <v>120323</v>
      </c>
    </row>
    <row r="16" spans="1:2" ht="24" customHeight="1">
      <c r="A16" s="16" t="s">
        <v>32</v>
      </c>
      <c r="B16" s="21">
        <v>9232</v>
      </c>
    </row>
    <row r="17" spans="1:2" ht="24" customHeight="1">
      <c r="A17" s="16" t="s">
        <v>33</v>
      </c>
      <c r="B17" s="21">
        <v>325597</v>
      </c>
    </row>
    <row r="18" spans="1:2" ht="24" customHeight="1">
      <c r="A18" s="16" t="s">
        <v>83</v>
      </c>
      <c r="B18" s="21">
        <v>87452</v>
      </c>
    </row>
    <row r="19" spans="1:2" ht="24" customHeight="1">
      <c r="A19" s="16" t="s">
        <v>34</v>
      </c>
      <c r="B19" s="21">
        <v>12542</v>
      </c>
    </row>
    <row r="20" spans="1:2" ht="24" customHeight="1">
      <c r="A20" s="16" t="s">
        <v>35</v>
      </c>
      <c r="B20" s="21">
        <v>191411</v>
      </c>
    </row>
    <row r="21" spans="1:2" ht="24" customHeight="1">
      <c r="A21" s="16" t="s">
        <v>36</v>
      </c>
      <c r="B21" s="21">
        <v>24319</v>
      </c>
    </row>
    <row r="22" spans="1:2" ht="24" customHeight="1">
      <c r="A22" s="16" t="s">
        <v>37</v>
      </c>
      <c r="B22" s="21">
        <v>28552</v>
      </c>
    </row>
    <row r="23" spans="1:2" ht="24" customHeight="1">
      <c r="A23" s="16" t="s">
        <v>84</v>
      </c>
      <c r="B23" s="21">
        <v>251</v>
      </c>
    </row>
    <row r="24" spans="1:2" ht="24" customHeight="1">
      <c r="A24" s="16" t="s">
        <v>24</v>
      </c>
      <c r="B24" s="21">
        <v>197499</v>
      </c>
    </row>
    <row r="25" spans="1:2">
      <c r="A25" s="22" t="s">
        <v>38</v>
      </c>
    </row>
  </sheetData>
  <mergeCells count="1">
    <mergeCell ref="A1:B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5"/>
  <sheetViews>
    <sheetView showZeros="0" workbookViewId="0">
      <selection activeCell="A5" sqref="A5:C25"/>
    </sheetView>
  </sheetViews>
  <sheetFormatPr defaultRowHeight="13.5"/>
  <cols>
    <col min="1" max="1" width="41" customWidth="1"/>
    <col min="2" max="3" width="19.75" customWidth="1"/>
  </cols>
  <sheetData>
    <row r="1" spans="1:3" ht="35.25" customHeight="1">
      <c r="A1" s="50" t="s">
        <v>85</v>
      </c>
      <c r="B1" s="50"/>
      <c r="C1" s="50"/>
    </row>
    <row r="2" spans="1:3" ht="21" customHeight="1">
      <c r="B2" s="52" t="s">
        <v>17</v>
      </c>
      <c r="C2" s="52"/>
    </row>
    <row r="3" spans="1:3" ht="21" customHeight="1">
      <c r="A3" s="51" t="s">
        <v>26</v>
      </c>
      <c r="B3" s="15" t="s">
        <v>86</v>
      </c>
      <c r="C3" s="15" t="s">
        <v>87</v>
      </c>
    </row>
    <row r="4" spans="1:3" ht="24.6" customHeight="1">
      <c r="A4" s="51"/>
      <c r="B4" s="21">
        <f>SUM(B5:B25)</f>
        <v>1552006</v>
      </c>
      <c r="C4" s="21">
        <f>SUM(C5:C25)</f>
        <v>1598570</v>
      </c>
    </row>
    <row r="5" spans="1:3" ht="24" customHeight="1">
      <c r="A5" s="16" t="s">
        <v>19</v>
      </c>
      <c r="B5" s="21">
        <v>85032</v>
      </c>
      <c r="C5" s="21">
        <v>85032</v>
      </c>
    </row>
    <row r="6" spans="1:3" ht="24" customHeight="1">
      <c r="A6" s="16" t="s">
        <v>20</v>
      </c>
      <c r="B6" s="21">
        <v>424484</v>
      </c>
      <c r="C6" s="21">
        <v>435000</v>
      </c>
    </row>
    <row r="7" spans="1:3" ht="24" customHeight="1">
      <c r="A7" s="16" t="s">
        <v>80</v>
      </c>
      <c r="B7" s="21">
        <v>-126045</v>
      </c>
      <c r="C7" s="21">
        <v>-122104</v>
      </c>
    </row>
    <row r="8" spans="1:3" ht="24" customHeight="1">
      <c r="A8" s="16" t="s">
        <v>21</v>
      </c>
      <c r="B8" s="21">
        <v>5000</v>
      </c>
      <c r="C8" s="21">
        <v>5000</v>
      </c>
    </row>
    <row r="9" spans="1:3" ht="24" customHeight="1">
      <c r="A9" s="16" t="s">
        <v>22</v>
      </c>
      <c r="B9" s="21">
        <v>7224</v>
      </c>
      <c r="C9" s="21">
        <v>7224</v>
      </c>
    </row>
    <row r="10" spans="1:3" ht="24" customHeight="1">
      <c r="A10" s="16" t="s">
        <v>23</v>
      </c>
      <c r="B10" s="21">
        <v>21460</v>
      </c>
      <c r="C10" s="21">
        <v>22100</v>
      </c>
    </row>
    <row r="11" spans="1:3" ht="24" customHeight="1">
      <c r="A11" s="16" t="s">
        <v>81</v>
      </c>
      <c r="B11" s="21">
        <v>6336</v>
      </c>
      <c r="C11" s="21">
        <v>6336</v>
      </c>
    </row>
    <row r="12" spans="1:3" ht="24" customHeight="1">
      <c r="A12" s="16" t="s">
        <v>29</v>
      </c>
      <c r="B12" s="21">
        <v>76647</v>
      </c>
      <c r="C12" s="21">
        <v>76647</v>
      </c>
    </row>
    <row r="13" spans="1:3" ht="24" customHeight="1">
      <c r="A13" s="16" t="s">
        <v>82</v>
      </c>
      <c r="B13" s="21">
        <v>7444</v>
      </c>
      <c r="C13" s="21">
        <v>7444</v>
      </c>
    </row>
    <row r="14" spans="1:3" ht="24" customHeight="1">
      <c r="A14" s="16" t="s">
        <v>25</v>
      </c>
      <c r="B14" s="21">
        <v>24643</v>
      </c>
      <c r="C14" s="21">
        <v>25380</v>
      </c>
    </row>
    <row r="15" spans="1:3" ht="24" customHeight="1">
      <c r="A15" s="16" t="s">
        <v>30</v>
      </c>
      <c r="B15" s="21">
        <v>22603</v>
      </c>
      <c r="C15" s="21">
        <v>23280</v>
      </c>
    </row>
    <row r="16" spans="1:3" ht="24" customHeight="1">
      <c r="A16" s="16" t="s">
        <v>31</v>
      </c>
      <c r="B16" s="21">
        <v>120323</v>
      </c>
      <c r="C16" s="21">
        <v>124000</v>
      </c>
    </row>
    <row r="17" spans="1:3" ht="24" customHeight="1">
      <c r="A17" s="16" t="s">
        <v>32</v>
      </c>
      <c r="B17" s="21">
        <v>9232</v>
      </c>
      <c r="C17" s="21">
        <v>9510</v>
      </c>
    </row>
    <row r="18" spans="1:3" ht="24" customHeight="1">
      <c r="A18" s="16" t="s">
        <v>33</v>
      </c>
      <c r="B18" s="21">
        <v>325597</v>
      </c>
      <c r="C18" s="21">
        <v>335360</v>
      </c>
    </row>
    <row r="19" spans="1:3" ht="24" customHeight="1">
      <c r="A19" s="16" t="s">
        <v>83</v>
      </c>
      <c r="B19" s="21">
        <v>87452</v>
      </c>
      <c r="C19" s="21">
        <v>90080</v>
      </c>
    </row>
    <row r="20" spans="1:3" ht="24" customHeight="1">
      <c r="A20" s="16" t="s">
        <v>34</v>
      </c>
      <c r="B20" s="21">
        <v>12542</v>
      </c>
      <c r="C20" s="21">
        <v>13000</v>
      </c>
    </row>
    <row r="21" spans="1:3" ht="24" customHeight="1">
      <c r="A21" s="16" t="s">
        <v>35</v>
      </c>
      <c r="B21" s="21">
        <v>191411</v>
      </c>
      <c r="C21" s="21">
        <v>197150</v>
      </c>
    </row>
    <row r="22" spans="1:3" ht="24" customHeight="1">
      <c r="A22" s="16" t="s">
        <v>36</v>
      </c>
      <c r="B22" s="21">
        <v>24319</v>
      </c>
      <c r="C22" s="21">
        <v>25050</v>
      </c>
    </row>
    <row r="23" spans="1:3" ht="24" customHeight="1">
      <c r="A23" s="16" t="s">
        <v>37</v>
      </c>
      <c r="B23" s="21">
        <v>28552</v>
      </c>
      <c r="C23" s="21">
        <v>29410.000000000004</v>
      </c>
    </row>
    <row r="24" spans="1:3" ht="24" customHeight="1">
      <c r="A24" s="16" t="s">
        <v>84</v>
      </c>
      <c r="B24" s="21">
        <v>251</v>
      </c>
      <c r="C24" s="21">
        <v>251</v>
      </c>
    </row>
    <row r="25" spans="1:3" ht="24" customHeight="1">
      <c r="A25" s="16" t="s">
        <v>24</v>
      </c>
      <c r="B25" s="21">
        <v>197499</v>
      </c>
      <c r="C25" s="21">
        <v>203420</v>
      </c>
    </row>
  </sheetData>
  <mergeCells count="3">
    <mergeCell ref="A3:A4"/>
    <mergeCell ref="A1:C1"/>
    <mergeCell ref="B2:C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4"/>
  <sheetViews>
    <sheetView workbookViewId="0">
      <selection activeCell="E10" sqref="E10"/>
    </sheetView>
  </sheetViews>
  <sheetFormatPr defaultRowHeight="13.5"/>
  <cols>
    <col min="1" max="1" width="26.375" style="24" customWidth="1"/>
    <col min="2" max="2" width="12.25" style="25" customWidth="1"/>
    <col min="3" max="13" width="9" style="25" customWidth="1"/>
    <col min="14" max="16384" width="9" style="24"/>
  </cols>
  <sheetData>
    <row r="1" spans="1:13" ht="27">
      <c r="A1" s="53" t="s">
        <v>76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 t="s">
        <v>59</v>
      </c>
    </row>
    <row r="3" spans="1:13">
      <c r="A3" s="32" t="s">
        <v>58</v>
      </c>
      <c r="B3" s="31" t="s">
        <v>57</v>
      </c>
      <c r="C3" s="31" t="s">
        <v>6</v>
      </c>
      <c r="D3" s="31" t="s">
        <v>56</v>
      </c>
      <c r="E3" s="31" t="s">
        <v>8</v>
      </c>
      <c r="F3" s="31" t="s">
        <v>9</v>
      </c>
      <c r="G3" s="31" t="s">
        <v>10</v>
      </c>
      <c r="H3" s="31" t="s">
        <v>11</v>
      </c>
      <c r="I3" s="31" t="s">
        <v>12</v>
      </c>
      <c r="J3" s="31" t="s">
        <v>13</v>
      </c>
      <c r="K3" s="31" t="s">
        <v>14</v>
      </c>
      <c r="L3" s="31" t="s">
        <v>15</v>
      </c>
      <c r="M3" s="31" t="s">
        <v>16</v>
      </c>
    </row>
    <row r="4" spans="1:13">
      <c r="A4" s="30"/>
      <c r="B4" s="29">
        <f t="shared" ref="B4:B24" si="0">SUM(C4:M4)</f>
        <v>256165</v>
      </c>
      <c r="C4" s="29">
        <f t="shared" ref="C4:M4" si="1">SUM(C5:C24)</f>
        <v>26410</v>
      </c>
      <c r="D4" s="29">
        <f t="shared" si="1"/>
        <v>22400</v>
      </c>
      <c r="E4" s="29">
        <f t="shared" si="1"/>
        <v>22558</v>
      </c>
      <c r="F4" s="29">
        <f t="shared" si="1"/>
        <v>18877</v>
      </c>
      <c r="G4" s="29">
        <f t="shared" si="1"/>
        <v>31356</v>
      </c>
      <c r="H4" s="29">
        <f t="shared" si="1"/>
        <v>34109</v>
      </c>
      <c r="I4" s="29">
        <f t="shared" si="1"/>
        <v>16876</v>
      </c>
      <c r="J4" s="29">
        <f t="shared" si="1"/>
        <v>16834</v>
      </c>
      <c r="K4" s="29">
        <f t="shared" si="1"/>
        <v>19349</v>
      </c>
      <c r="L4" s="29">
        <f t="shared" si="1"/>
        <v>17507</v>
      </c>
      <c r="M4" s="59">
        <f t="shared" si="1"/>
        <v>29889</v>
      </c>
    </row>
    <row r="5" spans="1:13">
      <c r="A5" s="27" t="s">
        <v>55</v>
      </c>
      <c r="B5" s="29">
        <f t="shared" si="0"/>
        <v>4340</v>
      </c>
      <c r="C5" s="55">
        <v>1842</v>
      </c>
      <c r="D5" s="28">
        <v>1030</v>
      </c>
      <c r="E5" s="28">
        <v>192</v>
      </c>
      <c r="F5" s="28">
        <f>34+103</f>
        <v>137</v>
      </c>
      <c r="G5" s="28">
        <v>238</v>
      </c>
      <c r="H5" s="55">
        <f>37+86</f>
        <v>123</v>
      </c>
      <c r="I5" s="28">
        <f>29+99</f>
        <v>128</v>
      </c>
      <c r="J5" s="28">
        <f>54+115</f>
        <v>169</v>
      </c>
      <c r="K5" s="28">
        <v>106</v>
      </c>
      <c r="L5" s="28">
        <f>46+171</f>
        <v>217</v>
      </c>
      <c r="M5" s="60">
        <v>158</v>
      </c>
    </row>
    <row r="6" spans="1:13">
      <c r="A6" s="27" t="s">
        <v>54</v>
      </c>
      <c r="B6" s="29">
        <f t="shared" si="0"/>
        <v>58</v>
      </c>
      <c r="C6" s="55"/>
      <c r="D6" s="28">
        <v>30</v>
      </c>
      <c r="E6" s="28"/>
      <c r="F6" s="28">
        <v>4</v>
      </c>
      <c r="G6" s="28"/>
      <c r="H6" s="55">
        <v>5</v>
      </c>
      <c r="I6" s="28">
        <v>4</v>
      </c>
      <c r="J6" s="28">
        <v>5</v>
      </c>
      <c r="K6" s="28"/>
      <c r="L6" s="28">
        <v>6</v>
      </c>
      <c r="M6" s="60">
        <v>4</v>
      </c>
    </row>
    <row r="7" spans="1:13">
      <c r="A7" s="27" t="s">
        <v>53</v>
      </c>
      <c r="B7" s="29">
        <f t="shared" si="0"/>
        <v>4792</v>
      </c>
      <c r="C7" s="55">
        <v>68</v>
      </c>
      <c r="D7" s="28">
        <v>1110</v>
      </c>
      <c r="E7" s="28">
        <v>44</v>
      </c>
      <c r="F7" s="28">
        <v>1232</v>
      </c>
      <c r="G7" s="28">
        <v>40</v>
      </c>
      <c r="H7" s="55">
        <v>48</v>
      </c>
      <c r="I7" s="28">
        <v>456</v>
      </c>
      <c r="J7" s="28">
        <f>405+20</f>
        <v>425</v>
      </c>
      <c r="K7" s="28">
        <v>752</v>
      </c>
      <c r="L7" s="28">
        <v>539</v>
      </c>
      <c r="M7" s="60">
        <v>78</v>
      </c>
    </row>
    <row r="8" spans="1:13">
      <c r="A8" s="27" t="s">
        <v>52</v>
      </c>
      <c r="B8" s="29">
        <f t="shared" si="0"/>
        <v>4508</v>
      </c>
      <c r="C8" s="55">
        <v>722</v>
      </c>
      <c r="D8" s="28">
        <v>217</v>
      </c>
      <c r="E8" s="28">
        <v>40</v>
      </c>
      <c r="F8" s="28">
        <f>807+94</f>
        <v>901</v>
      </c>
      <c r="G8" s="28">
        <v>898</v>
      </c>
      <c r="H8" s="55">
        <f>28+36</f>
        <v>64</v>
      </c>
      <c r="I8" s="28">
        <f>150+104</f>
        <v>254</v>
      </c>
      <c r="J8" s="28">
        <f>518+37</f>
        <v>555</v>
      </c>
      <c r="K8" s="28">
        <v>428</v>
      </c>
      <c r="L8" s="28">
        <f>176+54</f>
        <v>230</v>
      </c>
      <c r="M8" s="60">
        <v>199</v>
      </c>
    </row>
    <row r="9" spans="1:13">
      <c r="A9" s="27" t="s">
        <v>51</v>
      </c>
      <c r="B9" s="29">
        <f t="shared" si="0"/>
        <v>4253</v>
      </c>
      <c r="C9" s="55">
        <v>313</v>
      </c>
      <c r="D9" s="28">
        <v>795</v>
      </c>
      <c r="E9" s="28">
        <v>332</v>
      </c>
      <c r="F9" s="28">
        <f>225+48</f>
        <v>273</v>
      </c>
      <c r="G9" s="28">
        <v>443</v>
      </c>
      <c r="H9" s="55">
        <f>160+90</f>
        <v>250</v>
      </c>
      <c r="I9" s="28">
        <f>195+46</f>
        <v>241</v>
      </c>
      <c r="J9" s="28">
        <f>235+138</f>
        <v>373</v>
      </c>
      <c r="K9" s="28">
        <v>317</v>
      </c>
      <c r="L9" s="28">
        <f>165+475</f>
        <v>640</v>
      </c>
      <c r="M9" s="60">
        <v>276</v>
      </c>
    </row>
    <row r="10" spans="1:13">
      <c r="A10" s="27" t="s">
        <v>94</v>
      </c>
      <c r="B10" s="29">
        <f t="shared" si="0"/>
        <v>8642</v>
      </c>
      <c r="C10" s="55">
        <v>2205</v>
      </c>
      <c r="D10" s="28">
        <v>167</v>
      </c>
      <c r="E10" s="28">
        <v>4209</v>
      </c>
      <c r="F10" s="28">
        <f>63+551</f>
        <v>614</v>
      </c>
      <c r="G10" s="28">
        <v>129</v>
      </c>
      <c r="H10" s="55">
        <f>116+65</f>
        <v>181</v>
      </c>
      <c r="I10" s="28">
        <f>28+138</f>
        <v>166</v>
      </c>
      <c r="J10" s="28">
        <f>217+38</f>
        <v>255</v>
      </c>
      <c r="K10" s="28">
        <v>189</v>
      </c>
      <c r="L10" s="28">
        <f>10+133</f>
        <v>143</v>
      </c>
      <c r="M10" s="60">
        <v>384</v>
      </c>
    </row>
    <row r="11" spans="1:13">
      <c r="A11" s="27" t="s">
        <v>50</v>
      </c>
      <c r="B11" s="29">
        <f t="shared" si="0"/>
        <v>13135</v>
      </c>
      <c r="C11" s="57">
        <v>4002</v>
      </c>
      <c r="D11" s="28">
        <v>201</v>
      </c>
      <c r="E11" s="28">
        <v>370</v>
      </c>
      <c r="F11" s="28">
        <f>1026+38</f>
        <v>1064</v>
      </c>
      <c r="G11" s="28">
        <v>826</v>
      </c>
      <c r="H11" s="55">
        <f>1155+121</f>
        <v>1276</v>
      </c>
      <c r="I11" s="28">
        <f>769+121</f>
        <v>890</v>
      </c>
      <c r="J11" s="28">
        <f>172+37</f>
        <v>209</v>
      </c>
      <c r="K11" s="28">
        <v>412</v>
      </c>
      <c r="L11" s="28">
        <f>1544+112</f>
        <v>1656</v>
      </c>
      <c r="M11" s="60">
        <v>2229</v>
      </c>
    </row>
    <row r="12" spans="1:13">
      <c r="A12" s="27" t="s">
        <v>95</v>
      </c>
      <c r="B12" s="29">
        <f t="shared" si="0"/>
        <v>8610</v>
      </c>
      <c r="C12" s="55">
        <v>630</v>
      </c>
      <c r="D12" s="28">
        <v>358</v>
      </c>
      <c r="E12" s="28">
        <v>489</v>
      </c>
      <c r="F12" s="28">
        <f>988+147</f>
        <v>1135</v>
      </c>
      <c r="G12" s="28">
        <v>552</v>
      </c>
      <c r="H12" s="55">
        <f>671+183</f>
        <v>854</v>
      </c>
      <c r="I12" s="28">
        <f>665+175</f>
        <v>840</v>
      </c>
      <c r="J12" s="28">
        <f>811+150</f>
        <v>961</v>
      </c>
      <c r="K12" s="28">
        <v>922</v>
      </c>
      <c r="L12" s="28">
        <f>813+256</f>
        <v>1069</v>
      </c>
      <c r="M12" s="60">
        <v>800</v>
      </c>
    </row>
    <row r="13" spans="1:13">
      <c r="A13" s="27" t="s">
        <v>49</v>
      </c>
      <c r="B13" s="29">
        <f t="shared" si="0"/>
        <v>91906</v>
      </c>
      <c r="C13" s="55">
        <v>8619</v>
      </c>
      <c r="D13" s="28">
        <v>6585</v>
      </c>
      <c r="E13" s="28">
        <v>8624</v>
      </c>
      <c r="F13" s="28">
        <f>193+4116</f>
        <v>4309</v>
      </c>
      <c r="G13" s="28">
        <v>12534</v>
      </c>
      <c r="H13" s="58">
        <f>4873+9103</f>
        <v>13976</v>
      </c>
      <c r="I13" s="28">
        <f>2210+6642</f>
        <v>8852</v>
      </c>
      <c r="J13" s="28">
        <f>744+4930</f>
        <v>5674</v>
      </c>
      <c r="K13" s="28">
        <v>6520</v>
      </c>
      <c r="L13" s="28">
        <f>1762+5015</f>
        <v>6777</v>
      </c>
      <c r="M13" s="60">
        <v>9436</v>
      </c>
    </row>
    <row r="14" spans="1:13">
      <c r="A14" s="27" t="s">
        <v>48</v>
      </c>
      <c r="B14" s="29">
        <f t="shared" si="0"/>
        <v>400</v>
      </c>
      <c r="C14" s="55"/>
      <c r="D14" s="28"/>
      <c r="E14" s="28"/>
      <c r="F14" s="28"/>
      <c r="G14" s="46"/>
      <c r="H14" s="58"/>
      <c r="I14" s="28"/>
      <c r="J14" s="28"/>
      <c r="K14" s="28"/>
      <c r="L14" s="28">
        <v>400</v>
      </c>
      <c r="M14" s="60"/>
    </row>
    <row r="15" spans="1:13">
      <c r="A15" s="27" t="s">
        <v>47</v>
      </c>
      <c r="B15" s="29">
        <f t="shared" si="0"/>
        <v>37778</v>
      </c>
      <c r="C15" s="55">
        <v>2345</v>
      </c>
      <c r="D15" s="28">
        <v>3793</v>
      </c>
      <c r="E15" s="28">
        <v>5134</v>
      </c>
      <c r="F15" s="28">
        <f>2231+30</f>
        <v>2261</v>
      </c>
      <c r="G15" s="28">
        <v>3184</v>
      </c>
      <c r="H15" s="58">
        <f>3913+36</f>
        <v>3949</v>
      </c>
      <c r="I15" s="28">
        <f>1896+200</f>
        <v>2096</v>
      </c>
      <c r="J15" s="28">
        <f>2300+185</f>
        <v>2485</v>
      </c>
      <c r="K15" s="28">
        <v>3808</v>
      </c>
      <c r="L15" s="28">
        <f>1368+90</f>
        <v>1458</v>
      </c>
      <c r="M15" s="60">
        <v>7265</v>
      </c>
    </row>
    <row r="16" spans="1:13">
      <c r="A16" s="27" t="s">
        <v>46</v>
      </c>
      <c r="B16" s="29">
        <f t="shared" si="0"/>
        <v>4790</v>
      </c>
      <c r="C16" s="55">
        <v>90</v>
      </c>
      <c r="D16" s="28">
        <v>70</v>
      </c>
      <c r="E16" s="28">
        <v>30</v>
      </c>
      <c r="F16" s="28">
        <v>580</v>
      </c>
      <c r="G16" s="28">
        <v>60</v>
      </c>
      <c r="H16" s="58">
        <v>720</v>
      </c>
      <c r="I16" s="28">
        <v>610</v>
      </c>
      <c r="J16" s="28">
        <v>560</v>
      </c>
      <c r="K16" s="28">
        <v>70</v>
      </c>
      <c r="L16" s="28">
        <v>1110</v>
      </c>
      <c r="M16" s="60">
        <v>890</v>
      </c>
    </row>
    <row r="17" spans="1:13">
      <c r="A17" s="27" t="s">
        <v>93</v>
      </c>
      <c r="B17" s="29">
        <f t="shared" si="0"/>
        <v>16778</v>
      </c>
      <c r="C17" s="55">
        <v>1218</v>
      </c>
      <c r="D17" s="28">
        <v>2797</v>
      </c>
      <c r="E17" s="28">
        <v>1589</v>
      </c>
      <c r="F17" s="28">
        <f>8+323</f>
        <v>331</v>
      </c>
      <c r="G17" s="28">
        <v>2623</v>
      </c>
      <c r="H17" s="58">
        <f>2805+201</f>
        <v>3006</v>
      </c>
      <c r="I17" s="28">
        <f>200+293</f>
        <v>493</v>
      </c>
      <c r="J17" s="28">
        <f>272+469</f>
        <v>741</v>
      </c>
      <c r="K17" s="28">
        <v>517</v>
      </c>
      <c r="L17" s="28">
        <v>1529</v>
      </c>
      <c r="M17" s="60">
        <v>1934</v>
      </c>
    </row>
    <row r="18" spans="1:13">
      <c r="A18" s="27" t="s">
        <v>44</v>
      </c>
      <c r="B18" s="29">
        <f t="shared" si="0"/>
        <v>16779</v>
      </c>
      <c r="C18" s="55">
        <v>1528</v>
      </c>
      <c r="D18" s="28">
        <v>1810</v>
      </c>
      <c r="E18" s="28">
        <v>873</v>
      </c>
      <c r="F18" s="28">
        <f>2+5427</f>
        <v>5429</v>
      </c>
      <c r="G18" s="28">
        <v>1315</v>
      </c>
      <c r="H18" s="58">
        <f>8+742</f>
        <v>750</v>
      </c>
      <c r="I18" s="28">
        <f>500+191</f>
        <v>691</v>
      </c>
      <c r="J18" s="28">
        <f>79+2538</f>
        <v>2617</v>
      </c>
      <c r="K18" s="28">
        <v>545</v>
      </c>
      <c r="L18" s="28">
        <f>2+462</f>
        <v>464</v>
      </c>
      <c r="M18" s="60">
        <v>757</v>
      </c>
    </row>
    <row r="19" spans="1:13">
      <c r="A19" s="27" t="s">
        <v>43</v>
      </c>
      <c r="B19" s="29">
        <f t="shared" si="0"/>
        <v>771</v>
      </c>
      <c r="C19" s="55">
        <v>124</v>
      </c>
      <c r="D19" s="28">
        <v>11</v>
      </c>
      <c r="E19" s="28"/>
      <c r="F19" s="28"/>
      <c r="G19" s="28">
        <v>41</v>
      </c>
      <c r="H19" s="58"/>
      <c r="I19" s="28"/>
      <c r="J19" s="28"/>
      <c r="K19" s="28">
        <v>40</v>
      </c>
      <c r="L19" s="28">
        <v>500</v>
      </c>
      <c r="M19" s="60">
        <v>55</v>
      </c>
    </row>
    <row r="20" spans="1:13">
      <c r="A20" s="27" t="s">
        <v>96</v>
      </c>
      <c r="B20" s="29">
        <f t="shared" si="0"/>
        <v>7431</v>
      </c>
      <c r="C20" s="55"/>
      <c r="D20" s="28">
        <v>213</v>
      </c>
      <c r="E20" s="28">
        <v>302</v>
      </c>
      <c r="F20" s="28">
        <v>146</v>
      </c>
      <c r="G20" s="28">
        <v>4433</v>
      </c>
      <c r="H20" s="55">
        <v>126</v>
      </c>
      <c r="I20" s="28">
        <v>97</v>
      </c>
      <c r="J20" s="28">
        <v>161</v>
      </c>
      <c r="K20" s="28">
        <v>664</v>
      </c>
      <c r="L20" s="28">
        <v>450</v>
      </c>
      <c r="M20" s="60">
        <v>839</v>
      </c>
    </row>
    <row r="21" spans="1:13">
      <c r="A21" s="27" t="s">
        <v>42</v>
      </c>
      <c r="B21" s="29">
        <f t="shared" si="0"/>
        <v>17614</v>
      </c>
      <c r="C21" s="55">
        <v>2575</v>
      </c>
      <c r="D21" s="28">
        <v>3160</v>
      </c>
      <c r="E21" s="28">
        <v>260</v>
      </c>
      <c r="F21" s="28">
        <v>270</v>
      </c>
      <c r="G21" s="28">
        <v>1600</v>
      </c>
      <c r="H21" s="55">
        <v>865</v>
      </c>
      <c r="I21" s="28">
        <v>925</v>
      </c>
      <c r="J21" s="28">
        <v>1250</v>
      </c>
      <c r="K21" s="28">
        <v>3905</v>
      </c>
      <c r="L21" s="28">
        <v>89</v>
      </c>
      <c r="M21" s="60">
        <v>2715</v>
      </c>
    </row>
    <row r="22" spans="1:13">
      <c r="A22" s="27" t="s">
        <v>41</v>
      </c>
      <c r="B22" s="26">
        <f t="shared" si="0"/>
        <v>2272</v>
      </c>
      <c r="C22" s="56">
        <v>129</v>
      </c>
      <c r="D22" s="23">
        <v>53</v>
      </c>
      <c r="E22" s="23">
        <v>70</v>
      </c>
      <c r="F22" s="23">
        <v>37</v>
      </c>
      <c r="G22" s="23">
        <v>102</v>
      </c>
      <c r="H22" s="56">
        <v>19</v>
      </c>
      <c r="I22" s="23"/>
      <c r="J22" s="23"/>
      <c r="K22" s="23">
        <v>154</v>
      </c>
      <c r="L22" s="56">
        <v>40</v>
      </c>
      <c r="M22" s="60">
        <v>1668</v>
      </c>
    </row>
    <row r="23" spans="1:13">
      <c r="A23" s="27" t="s">
        <v>97</v>
      </c>
      <c r="B23" s="26"/>
      <c r="C23" s="55"/>
      <c r="D23" s="28"/>
      <c r="E23" s="28"/>
      <c r="F23" s="28">
        <v>154</v>
      </c>
      <c r="G23" s="28"/>
      <c r="H23" s="55">
        <v>152</v>
      </c>
      <c r="I23" s="28">
        <v>110</v>
      </c>
      <c r="J23" s="28">
        <v>362</v>
      </c>
      <c r="K23" s="28"/>
      <c r="L23" s="28">
        <v>190</v>
      </c>
      <c r="M23" s="60">
        <v>202</v>
      </c>
    </row>
    <row r="24" spans="1:13">
      <c r="A24" s="27" t="s">
        <v>40</v>
      </c>
      <c r="B24" s="26">
        <f t="shared" si="0"/>
        <v>10138</v>
      </c>
      <c r="C24" s="28"/>
      <c r="D24" s="28"/>
      <c r="E24" s="28"/>
      <c r="F24" s="28"/>
      <c r="G24" s="28">
        <v>2338</v>
      </c>
      <c r="H24" s="55">
        <v>7745</v>
      </c>
      <c r="I24" s="28">
        <v>23</v>
      </c>
      <c r="J24" s="28">
        <v>32</v>
      </c>
      <c r="K24" s="28"/>
      <c r="L24" s="28"/>
      <c r="M24" s="60"/>
    </row>
  </sheetData>
  <mergeCells count="1">
    <mergeCell ref="A1:M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4"/>
  <sheetViews>
    <sheetView workbookViewId="0">
      <selection activeCell="O18" sqref="O18"/>
    </sheetView>
  </sheetViews>
  <sheetFormatPr defaultRowHeight="13.5"/>
  <cols>
    <col min="1" max="1" width="21.375" style="35" customWidth="1"/>
    <col min="2" max="15" width="9" style="25"/>
    <col min="16" max="16384" width="9" style="24"/>
  </cols>
  <sheetData>
    <row r="1" spans="1:13" ht="27">
      <c r="A1" s="53" t="s">
        <v>77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>
      <c r="A2" s="3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 t="s">
        <v>61</v>
      </c>
    </row>
    <row r="3" spans="1:13">
      <c r="A3" s="32" t="s">
        <v>60</v>
      </c>
      <c r="B3" s="31" t="s">
        <v>57</v>
      </c>
      <c r="C3" s="31" t="s">
        <v>6</v>
      </c>
      <c r="D3" s="31" t="s">
        <v>56</v>
      </c>
      <c r="E3" s="31" t="s">
        <v>8</v>
      </c>
      <c r="F3" s="31" t="s">
        <v>9</v>
      </c>
      <c r="G3" s="31" t="s">
        <v>10</v>
      </c>
      <c r="H3" s="31" t="s">
        <v>11</v>
      </c>
      <c r="I3" s="31" t="s">
        <v>12</v>
      </c>
      <c r="J3" s="31" t="s">
        <v>13</v>
      </c>
      <c r="K3" s="31" t="s">
        <v>14</v>
      </c>
      <c r="L3" s="31" t="s">
        <v>15</v>
      </c>
      <c r="M3" s="31" t="s">
        <v>16</v>
      </c>
    </row>
    <row r="4" spans="1:13">
      <c r="A4" s="30"/>
      <c r="B4" s="29">
        <f>SUM(C4:M4)</f>
        <v>255700</v>
      </c>
      <c r="C4" s="29">
        <f>SUM(C5:C24)</f>
        <v>26400</v>
      </c>
      <c r="D4" s="29">
        <f>SUM(D5:D24)</f>
        <v>22400</v>
      </c>
      <c r="E4" s="29">
        <f>SUM(E5:E24)</f>
        <v>22500</v>
      </c>
      <c r="F4" s="29">
        <f>SUM(F5:F24)</f>
        <v>18800</v>
      </c>
      <c r="G4" s="29">
        <f>SUM(G5:G24)</f>
        <v>31300</v>
      </c>
      <c r="H4" s="29">
        <f>SUM(H5:H24)</f>
        <v>34100</v>
      </c>
      <c r="I4" s="29">
        <f>SUM(I5:I24)</f>
        <v>16800</v>
      </c>
      <c r="J4" s="29">
        <f>SUM(J5:J24)</f>
        <v>16800</v>
      </c>
      <c r="K4" s="29">
        <f>SUM(K5:K24)</f>
        <v>19300</v>
      </c>
      <c r="L4" s="29">
        <f>SUM(L5:L24)</f>
        <v>17500</v>
      </c>
      <c r="M4" s="29">
        <f>SUM(M5:M24)</f>
        <v>29800</v>
      </c>
    </row>
    <row r="5" spans="1:13">
      <c r="A5" s="27" t="s">
        <v>55</v>
      </c>
      <c r="B5" s="29">
        <f>SUM(C5:M5)</f>
        <v>4338</v>
      </c>
      <c r="C5" s="28">
        <v>1840</v>
      </c>
      <c r="D5" s="28">
        <v>1030</v>
      </c>
      <c r="E5" s="28">
        <v>192</v>
      </c>
      <c r="F5" s="28">
        <v>137</v>
      </c>
      <c r="G5" s="28">
        <v>238</v>
      </c>
      <c r="H5" s="28">
        <v>123</v>
      </c>
      <c r="I5" s="28">
        <v>128</v>
      </c>
      <c r="J5" s="28">
        <v>169</v>
      </c>
      <c r="K5" s="28">
        <v>106</v>
      </c>
      <c r="L5" s="28">
        <v>217</v>
      </c>
      <c r="M5" s="28">
        <v>158</v>
      </c>
    </row>
    <row r="6" spans="1:13">
      <c r="A6" s="27" t="s">
        <v>54</v>
      </c>
      <c r="B6" s="29">
        <f>SUM(C6:M6)</f>
        <v>58</v>
      </c>
      <c r="C6" s="28"/>
      <c r="D6" s="28">
        <v>30</v>
      </c>
      <c r="E6" s="28"/>
      <c r="F6" s="28">
        <v>4</v>
      </c>
      <c r="G6" s="28"/>
      <c r="H6" s="28">
        <v>5</v>
      </c>
      <c r="I6" s="28">
        <v>4</v>
      </c>
      <c r="J6" s="28">
        <v>5</v>
      </c>
      <c r="K6" s="28"/>
      <c r="L6" s="28">
        <v>6</v>
      </c>
      <c r="M6" s="28">
        <v>4</v>
      </c>
    </row>
    <row r="7" spans="1:13">
      <c r="A7" s="27" t="s">
        <v>53</v>
      </c>
      <c r="B7" s="29">
        <f>SUM(C7:M7)</f>
        <v>4784</v>
      </c>
      <c r="C7" s="28">
        <v>60</v>
      </c>
      <c r="D7" s="28">
        <v>1110</v>
      </c>
      <c r="E7" s="28">
        <v>44</v>
      </c>
      <c r="F7" s="28">
        <v>1232</v>
      </c>
      <c r="G7" s="28">
        <v>40</v>
      </c>
      <c r="H7" s="28">
        <v>48</v>
      </c>
      <c r="I7" s="28">
        <v>456</v>
      </c>
      <c r="J7" s="28">
        <v>425</v>
      </c>
      <c r="K7" s="28">
        <v>752</v>
      </c>
      <c r="L7" s="28">
        <v>539</v>
      </c>
      <c r="M7" s="28">
        <v>78</v>
      </c>
    </row>
    <row r="8" spans="1:13">
      <c r="A8" s="27" t="s">
        <v>52</v>
      </c>
      <c r="B8" s="29">
        <f>SUM(C8:M8)</f>
        <v>4508</v>
      </c>
      <c r="C8" s="28">
        <v>722</v>
      </c>
      <c r="D8" s="28">
        <v>217</v>
      </c>
      <c r="E8" s="28">
        <v>40</v>
      </c>
      <c r="F8" s="28">
        <v>901</v>
      </c>
      <c r="G8" s="28">
        <v>898</v>
      </c>
      <c r="H8" s="28">
        <v>64</v>
      </c>
      <c r="I8" s="28">
        <v>254</v>
      </c>
      <c r="J8" s="28">
        <v>555</v>
      </c>
      <c r="K8" s="28">
        <v>428</v>
      </c>
      <c r="L8" s="28">
        <v>230</v>
      </c>
      <c r="M8" s="28">
        <v>199</v>
      </c>
    </row>
    <row r="9" spans="1:13">
      <c r="A9" s="27" t="s">
        <v>51</v>
      </c>
      <c r="B9" s="29">
        <f>SUM(C9:M9)</f>
        <v>4253</v>
      </c>
      <c r="C9" s="28">
        <v>313</v>
      </c>
      <c r="D9" s="28">
        <v>795</v>
      </c>
      <c r="E9" s="28">
        <v>332</v>
      </c>
      <c r="F9" s="28">
        <v>273</v>
      </c>
      <c r="G9" s="28">
        <v>443</v>
      </c>
      <c r="H9" s="28">
        <v>250</v>
      </c>
      <c r="I9" s="28">
        <v>241</v>
      </c>
      <c r="J9" s="28">
        <v>373</v>
      </c>
      <c r="K9" s="28">
        <v>317</v>
      </c>
      <c r="L9" s="28">
        <v>640</v>
      </c>
      <c r="M9" s="28">
        <v>276</v>
      </c>
    </row>
    <row r="10" spans="1:13">
      <c r="A10" s="27" t="s">
        <v>92</v>
      </c>
      <c r="B10" s="29">
        <f>SUM(C10:M10)</f>
        <v>8642</v>
      </c>
      <c r="C10" s="28">
        <v>2205</v>
      </c>
      <c r="D10" s="28">
        <v>167</v>
      </c>
      <c r="E10" s="28">
        <v>4209</v>
      </c>
      <c r="F10" s="28">
        <v>614</v>
      </c>
      <c r="G10" s="28">
        <v>129</v>
      </c>
      <c r="H10" s="28">
        <v>181</v>
      </c>
      <c r="I10" s="28">
        <v>166</v>
      </c>
      <c r="J10" s="28">
        <v>255</v>
      </c>
      <c r="K10" s="28">
        <v>189</v>
      </c>
      <c r="L10" s="28">
        <v>143</v>
      </c>
      <c r="M10" s="28">
        <v>384</v>
      </c>
    </row>
    <row r="11" spans="1:13">
      <c r="A11" s="27" t="s">
        <v>50</v>
      </c>
      <c r="B11" s="29">
        <f>SUM(C11:M11)</f>
        <v>13165</v>
      </c>
      <c r="C11" s="28">
        <v>4002</v>
      </c>
      <c r="D11" s="28">
        <v>201</v>
      </c>
      <c r="E11" s="28">
        <v>400</v>
      </c>
      <c r="F11" s="28">
        <v>1064</v>
      </c>
      <c r="G11" s="28">
        <v>826</v>
      </c>
      <c r="H11" s="28">
        <v>1276</v>
      </c>
      <c r="I11" s="28">
        <v>890</v>
      </c>
      <c r="J11" s="28">
        <v>209</v>
      </c>
      <c r="K11" s="28">
        <v>412</v>
      </c>
      <c r="L11" s="28">
        <v>1656</v>
      </c>
      <c r="M11" s="28">
        <v>2229</v>
      </c>
    </row>
    <row r="12" spans="1:13">
      <c r="A12" s="27" t="s">
        <v>89</v>
      </c>
      <c r="B12" s="29">
        <f>SUM(C12:M12)</f>
        <v>8610</v>
      </c>
      <c r="C12" s="28">
        <v>630</v>
      </c>
      <c r="D12" s="28">
        <v>358</v>
      </c>
      <c r="E12" s="28">
        <v>489</v>
      </c>
      <c r="F12" s="28">
        <v>1135</v>
      </c>
      <c r="G12" s="28">
        <v>552</v>
      </c>
      <c r="H12" s="28">
        <v>854</v>
      </c>
      <c r="I12" s="28">
        <v>840</v>
      </c>
      <c r="J12" s="28">
        <v>961</v>
      </c>
      <c r="K12" s="28">
        <v>922</v>
      </c>
      <c r="L12" s="28">
        <v>1069</v>
      </c>
      <c r="M12" s="28">
        <v>800</v>
      </c>
    </row>
    <row r="13" spans="1:13">
      <c r="A13" s="27" t="s">
        <v>49</v>
      </c>
      <c r="B13" s="29">
        <f>SUM(C13:M13)</f>
        <v>91906</v>
      </c>
      <c r="C13" s="28">
        <v>8619</v>
      </c>
      <c r="D13" s="28">
        <v>6585</v>
      </c>
      <c r="E13" s="28">
        <v>8624</v>
      </c>
      <c r="F13" s="28">
        <v>4309</v>
      </c>
      <c r="G13" s="28">
        <v>12534</v>
      </c>
      <c r="H13" s="28">
        <v>13976</v>
      </c>
      <c r="I13" s="28">
        <v>8852</v>
      </c>
      <c r="J13" s="28">
        <v>5674</v>
      </c>
      <c r="K13" s="28">
        <v>6520</v>
      </c>
      <c r="L13" s="28">
        <v>6777</v>
      </c>
      <c r="M13" s="28">
        <v>9436</v>
      </c>
    </row>
    <row r="14" spans="1:13">
      <c r="A14" s="27" t="s">
        <v>48</v>
      </c>
      <c r="B14" s="29">
        <f>SUM(C14:M14)</f>
        <v>400</v>
      </c>
      <c r="C14" s="28"/>
      <c r="D14" s="28"/>
      <c r="E14" s="28"/>
      <c r="F14" s="28"/>
      <c r="G14" s="28"/>
      <c r="H14" s="28"/>
      <c r="I14" s="28"/>
      <c r="J14" s="28"/>
      <c r="K14" s="28"/>
      <c r="L14" s="28">
        <v>400</v>
      </c>
      <c r="M14" s="28"/>
    </row>
    <row r="15" spans="1:13">
      <c r="A15" s="27" t="s">
        <v>47</v>
      </c>
      <c r="B15" s="29">
        <f>SUM(C15:M15)</f>
        <v>37778</v>
      </c>
      <c r="C15" s="28">
        <v>2345</v>
      </c>
      <c r="D15" s="28">
        <v>3793</v>
      </c>
      <c r="E15" s="28">
        <v>5134</v>
      </c>
      <c r="F15" s="28">
        <v>2261</v>
      </c>
      <c r="G15" s="28">
        <v>3184</v>
      </c>
      <c r="H15" s="28">
        <v>3949</v>
      </c>
      <c r="I15" s="28">
        <v>2096</v>
      </c>
      <c r="J15" s="28">
        <v>2485</v>
      </c>
      <c r="K15" s="28">
        <v>3808</v>
      </c>
      <c r="L15" s="28">
        <v>1458</v>
      </c>
      <c r="M15" s="28">
        <v>7265</v>
      </c>
    </row>
    <row r="16" spans="1:13">
      <c r="A16" s="27" t="s">
        <v>46</v>
      </c>
      <c r="B16" s="29">
        <f>SUM(C16:M16)</f>
        <v>4790</v>
      </c>
      <c r="C16" s="28">
        <v>90</v>
      </c>
      <c r="D16" s="28">
        <v>70</v>
      </c>
      <c r="E16" s="28">
        <v>30</v>
      </c>
      <c r="F16" s="28">
        <v>580</v>
      </c>
      <c r="G16" s="28">
        <v>60</v>
      </c>
      <c r="H16" s="28">
        <v>720</v>
      </c>
      <c r="I16" s="28">
        <v>610</v>
      </c>
      <c r="J16" s="28">
        <v>560</v>
      </c>
      <c r="K16" s="28">
        <v>70</v>
      </c>
      <c r="L16" s="28">
        <v>1110</v>
      </c>
      <c r="M16" s="28">
        <v>890</v>
      </c>
    </row>
    <row r="17" spans="1:13">
      <c r="A17" s="27" t="s">
        <v>45</v>
      </c>
      <c r="B17" s="29">
        <f>SUM(C17:M17)</f>
        <v>16594</v>
      </c>
      <c r="C17" s="28">
        <v>1218</v>
      </c>
      <c r="D17" s="28">
        <v>2797</v>
      </c>
      <c r="E17" s="28">
        <v>1574</v>
      </c>
      <c r="F17" s="28">
        <v>300</v>
      </c>
      <c r="G17" s="28">
        <v>2623</v>
      </c>
      <c r="H17" s="28">
        <v>3006</v>
      </c>
      <c r="I17" s="28">
        <v>493</v>
      </c>
      <c r="J17" s="28">
        <v>741</v>
      </c>
      <c r="K17" s="28">
        <f>517-49</f>
        <v>468</v>
      </c>
      <c r="L17" s="28">
        <v>1529</v>
      </c>
      <c r="M17" s="28">
        <f>1934-89</f>
        <v>1845</v>
      </c>
    </row>
    <row r="18" spans="1:13">
      <c r="A18" s="27" t="s">
        <v>44</v>
      </c>
      <c r="B18" s="29">
        <f>SUM(C18:M18)</f>
        <v>16560</v>
      </c>
      <c r="C18" s="28">
        <v>1528</v>
      </c>
      <c r="D18" s="28">
        <v>1810</v>
      </c>
      <c r="E18" s="28">
        <v>800</v>
      </c>
      <c r="F18" s="28">
        <v>5400</v>
      </c>
      <c r="G18" s="28">
        <v>1315</v>
      </c>
      <c r="H18" s="28">
        <v>750</v>
      </c>
      <c r="I18" s="28">
        <f>691-76</f>
        <v>615</v>
      </c>
      <c r="J18" s="28">
        <f>2617-34</f>
        <v>2583</v>
      </c>
      <c r="K18" s="28">
        <v>545</v>
      </c>
      <c r="L18" s="28">
        <v>457</v>
      </c>
      <c r="M18" s="28">
        <v>757</v>
      </c>
    </row>
    <row r="19" spans="1:13">
      <c r="A19" s="27" t="s">
        <v>43</v>
      </c>
      <c r="B19" s="29">
        <f>SUM(C19:M19)</f>
        <v>771</v>
      </c>
      <c r="C19" s="28">
        <v>124</v>
      </c>
      <c r="D19" s="28">
        <v>11</v>
      </c>
      <c r="E19" s="28"/>
      <c r="F19" s="28"/>
      <c r="G19" s="28">
        <v>41</v>
      </c>
      <c r="H19" s="28"/>
      <c r="I19" s="28"/>
      <c r="J19" s="28"/>
      <c r="K19" s="28">
        <v>40</v>
      </c>
      <c r="L19" s="28">
        <v>500</v>
      </c>
      <c r="M19" s="28">
        <v>55</v>
      </c>
    </row>
    <row r="20" spans="1:13">
      <c r="A20" s="27" t="s">
        <v>90</v>
      </c>
      <c r="B20" s="29">
        <f>SUM(C20:M20)</f>
        <v>7358</v>
      </c>
      <c r="C20" s="28"/>
      <c r="D20" s="28">
        <v>213</v>
      </c>
      <c r="E20" s="28">
        <v>302</v>
      </c>
      <c r="F20" s="28">
        <f>146-17</f>
        <v>129</v>
      </c>
      <c r="G20" s="28">
        <f>4433-56</f>
        <v>4377</v>
      </c>
      <c r="H20" s="28">
        <v>126</v>
      </c>
      <c r="I20" s="28">
        <v>97</v>
      </c>
      <c r="J20" s="28">
        <v>161</v>
      </c>
      <c r="K20" s="28">
        <v>664</v>
      </c>
      <c r="L20" s="28">
        <v>450</v>
      </c>
      <c r="M20" s="28">
        <v>839</v>
      </c>
    </row>
    <row r="21" spans="1:13">
      <c r="A21" s="27" t="s">
        <v>42</v>
      </c>
      <c r="B21" s="29">
        <f>SUM(C21:M21)</f>
        <v>17605</v>
      </c>
      <c r="C21" s="28">
        <v>2575</v>
      </c>
      <c r="D21" s="28">
        <v>3160</v>
      </c>
      <c r="E21" s="28">
        <v>260</v>
      </c>
      <c r="F21" s="28">
        <v>270</v>
      </c>
      <c r="G21" s="28">
        <v>1600</v>
      </c>
      <c r="H21" s="28">
        <f>865-9</f>
        <v>856</v>
      </c>
      <c r="I21" s="28">
        <v>925</v>
      </c>
      <c r="J21" s="28">
        <v>1250</v>
      </c>
      <c r="K21" s="28">
        <v>3905</v>
      </c>
      <c r="L21" s="28">
        <v>89</v>
      </c>
      <c r="M21" s="28">
        <v>2715</v>
      </c>
    </row>
    <row r="22" spans="1:13">
      <c r="A22" s="27" t="s">
        <v>41</v>
      </c>
      <c r="B22" s="26">
        <f>SUM(C22:M22)</f>
        <v>2272</v>
      </c>
      <c r="C22" s="23">
        <v>129</v>
      </c>
      <c r="D22" s="23">
        <v>53</v>
      </c>
      <c r="E22" s="23">
        <v>70</v>
      </c>
      <c r="F22" s="23">
        <v>37</v>
      </c>
      <c r="G22" s="23">
        <v>102</v>
      </c>
      <c r="H22" s="23">
        <v>19</v>
      </c>
      <c r="I22" s="23"/>
      <c r="J22" s="23"/>
      <c r="K22" s="23">
        <v>154</v>
      </c>
      <c r="L22" s="23">
        <v>40</v>
      </c>
      <c r="M22" s="23">
        <v>1668</v>
      </c>
    </row>
    <row r="23" spans="1:13">
      <c r="A23" s="27" t="s">
        <v>91</v>
      </c>
      <c r="B23" s="26"/>
      <c r="C23" s="46"/>
      <c r="D23" s="46"/>
      <c r="E23" s="46"/>
      <c r="F23" s="46">
        <v>154</v>
      </c>
      <c r="G23" s="46"/>
      <c r="H23" s="46">
        <v>152</v>
      </c>
      <c r="I23" s="46">
        <v>110</v>
      </c>
      <c r="J23" s="46">
        <v>362</v>
      </c>
      <c r="K23" s="46"/>
      <c r="L23" s="46">
        <v>190</v>
      </c>
      <c r="M23" s="46">
        <v>202</v>
      </c>
    </row>
    <row r="24" spans="1:13">
      <c r="A24" s="27" t="s">
        <v>40</v>
      </c>
      <c r="B24" s="26">
        <f>SUM(C24:M24)</f>
        <v>10138</v>
      </c>
      <c r="C24" s="23"/>
      <c r="D24" s="23"/>
      <c r="E24" s="23"/>
      <c r="F24" s="23"/>
      <c r="G24" s="23">
        <v>2338</v>
      </c>
      <c r="H24" s="23">
        <v>7745</v>
      </c>
      <c r="I24" s="23">
        <v>23</v>
      </c>
      <c r="J24" s="23">
        <v>32</v>
      </c>
      <c r="K24" s="23"/>
      <c r="L24" s="23"/>
      <c r="M24" s="23"/>
    </row>
  </sheetData>
  <mergeCells count="1">
    <mergeCell ref="A1:M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0"/>
  <sheetViews>
    <sheetView showZeros="0" workbookViewId="0">
      <selection activeCell="S42" sqref="S42"/>
    </sheetView>
  </sheetViews>
  <sheetFormatPr defaultRowHeight="13.5"/>
  <cols>
    <col min="1" max="1" width="27.125" style="38" customWidth="1"/>
    <col min="2" max="2" width="9" style="38"/>
    <col min="3" max="13" width="9" style="38" customWidth="1"/>
    <col min="14" max="16384" width="9" style="38"/>
  </cols>
  <sheetData>
    <row r="1" spans="1:13" ht="27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 t="s">
        <v>75</v>
      </c>
    </row>
    <row r="3" spans="1:13">
      <c r="A3" s="42"/>
      <c r="B3" s="41" t="s">
        <v>57</v>
      </c>
      <c r="C3" s="41" t="s">
        <v>74</v>
      </c>
      <c r="D3" s="38" t="s">
        <v>73</v>
      </c>
      <c r="E3" s="41" t="s">
        <v>72</v>
      </c>
      <c r="F3" s="41" t="s">
        <v>71</v>
      </c>
      <c r="G3" s="41" t="s">
        <v>70</v>
      </c>
      <c r="H3" s="41" t="s">
        <v>69</v>
      </c>
      <c r="I3" s="41" t="s">
        <v>68</v>
      </c>
      <c r="J3" s="41" t="s">
        <v>67</v>
      </c>
      <c r="K3" s="41" t="s">
        <v>66</v>
      </c>
      <c r="L3" s="41" t="s">
        <v>65</v>
      </c>
      <c r="M3" s="41" t="s">
        <v>64</v>
      </c>
    </row>
    <row r="4" spans="1:13">
      <c r="A4" s="40" t="s">
        <v>63</v>
      </c>
      <c r="B4" s="28">
        <f>SUM(C4:M4)</f>
        <v>519415</v>
      </c>
      <c r="C4" s="28">
        <f>SUM(C5:C10)</f>
        <v>314940</v>
      </c>
      <c r="D4" s="28">
        <f>SUM(D5:D10)</f>
        <v>19539</v>
      </c>
      <c r="E4" s="28">
        <f>SUM(E5:E10)</f>
        <v>20680</v>
      </c>
      <c r="F4" s="28">
        <f>SUM(F5:F10)</f>
        <v>19336</v>
      </c>
      <c r="G4" s="28">
        <f>SUM(G5:G10)</f>
        <v>26399</v>
      </c>
      <c r="H4" s="28">
        <f>SUM(H5:H10)</f>
        <v>17851</v>
      </c>
      <c r="I4" s="28">
        <f>SUM(I5:I10)</f>
        <v>12335</v>
      </c>
      <c r="J4" s="28">
        <f>SUM(J5:J10)</f>
        <v>16542</v>
      </c>
      <c r="K4" s="28">
        <f>SUM(K5:K10)</f>
        <v>18530</v>
      </c>
      <c r="L4" s="28">
        <f>SUM(L5:L10)</f>
        <v>15983</v>
      </c>
      <c r="M4" s="28">
        <f>SUM(M5:M10)</f>
        <v>37280</v>
      </c>
    </row>
    <row r="5" spans="1:13">
      <c r="A5" s="39" t="s">
        <v>94</v>
      </c>
      <c r="B5" s="28">
        <f>SUM(C5:M5)</f>
        <v>224</v>
      </c>
      <c r="C5" s="28">
        <v>41</v>
      </c>
      <c r="D5" s="28">
        <v>9</v>
      </c>
      <c r="E5" s="28">
        <v>16</v>
      </c>
      <c r="F5" s="28">
        <v>9</v>
      </c>
      <c r="G5" s="28">
        <v>27</v>
      </c>
      <c r="H5" s="28">
        <v>29</v>
      </c>
      <c r="I5" s="28">
        <v>10</v>
      </c>
      <c r="J5" s="28">
        <f>13+30</f>
        <v>43</v>
      </c>
      <c r="K5" s="28">
        <v>13</v>
      </c>
      <c r="L5" s="28">
        <v>14</v>
      </c>
      <c r="M5" s="28">
        <v>13</v>
      </c>
    </row>
    <row r="6" spans="1:13">
      <c r="A6" s="39" t="s">
        <v>50</v>
      </c>
      <c r="B6" s="28">
        <f>SUM(C6:M6)</f>
        <v>26835</v>
      </c>
      <c r="C6" s="28">
        <v>13</v>
      </c>
      <c r="D6" s="28">
        <v>12</v>
      </c>
      <c r="E6" s="28">
        <v>2275</v>
      </c>
      <c r="F6" s="28">
        <v>2972</v>
      </c>
      <c r="G6" s="28">
        <v>2918</v>
      </c>
      <c r="H6" s="28">
        <v>3</v>
      </c>
      <c r="I6" s="28"/>
      <c r="J6" s="28">
        <v>0</v>
      </c>
      <c r="K6" s="28"/>
      <c r="L6" s="28">
        <v>365</v>
      </c>
      <c r="M6" s="28">
        <v>18277</v>
      </c>
    </row>
    <row r="7" spans="1:13">
      <c r="A7" s="39" t="s">
        <v>48</v>
      </c>
      <c r="B7" s="28">
        <f>SUM(C7:M7)</f>
        <v>292813</v>
      </c>
      <c r="C7" s="28">
        <v>290000</v>
      </c>
      <c r="D7" s="28"/>
      <c r="E7" s="28">
        <v>44</v>
      </c>
      <c r="F7" s="28">
        <f>1056+33</f>
        <v>1089</v>
      </c>
      <c r="G7" s="28"/>
      <c r="H7" s="28"/>
      <c r="I7" s="28">
        <v>489</v>
      </c>
      <c r="J7" s="28"/>
      <c r="K7" s="28">
        <v>184</v>
      </c>
      <c r="L7" s="38">
        <v>37</v>
      </c>
      <c r="M7" s="28">
        <f>745+225</f>
        <v>970</v>
      </c>
    </row>
    <row r="8" spans="1:13">
      <c r="A8" s="39" t="s">
        <v>98</v>
      </c>
      <c r="B8" s="28">
        <f>SUM(C8:M8)</f>
        <v>365</v>
      </c>
      <c r="C8" s="28">
        <v>71</v>
      </c>
      <c r="D8" s="28">
        <v>68</v>
      </c>
      <c r="E8" s="28">
        <v>112</v>
      </c>
      <c r="G8" s="28">
        <v>110</v>
      </c>
      <c r="H8" s="28"/>
      <c r="I8" s="28"/>
      <c r="J8" s="28"/>
      <c r="K8" s="28">
        <v>4</v>
      </c>
      <c r="L8" s="28"/>
      <c r="M8" s="28"/>
    </row>
    <row r="9" spans="1:13">
      <c r="A9" s="39" t="s">
        <v>62</v>
      </c>
      <c r="B9" s="28">
        <f>SUM(C9:M9)</f>
        <v>10533</v>
      </c>
      <c r="C9" s="28">
        <v>1273</v>
      </c>
      <c r="D9" s="28">
        <v>599</v>
      </c>
      <c r="E9" s="28">
        <v>721</v>
      </c>
      <c r="F9" s="54">
        <f>947+161</f>
        <v>1108</v>
      </c>
      <c r="G9" s="28">
        <v>969</v>
      </c>
      <c r="H9" s="28">
        <f>1050+412</f>
        <v>1462</v>
      </c>
      <c r="I9" s="28">
        <f>667+323</f>
        <v>990</v>
      </c>
      <c r="J9" s="28">
        <f>623+130</f>
        <v>753</v>
      </c>
      <c r="K9" s="28">
        <v>652</v>
      </c>
      <c r="L9" s="28">
        <f>697+363</f>
        <v>1060</v>
      </c>
      <c r="M9" s="28">
        <f>590+356</f>
        <v>946</v>
      </c>
    </row>
    <row r="10" spans="1:13">
      <c r="A10" s="39" t="s">
        <v>101</v>
      </c>
      <c r="B10" s="28">
        <f>SUM(C10:M10)</f>
        <v>188645</v>
      </c>
      <c r="C10" s="28">
        <v>23542</v>
      </c>
      <c r="D10" s="28">
        <v>18851</v>
      </c>
      <c r="E10" s="28">
        <v>17512</v>
      </c>
      <c r="F10" s="28">
        <v>14158</v>
      </c>
      <c r="G10" s="28">
        <v>22375</v>
      </c>
      <c r="H10" s="28">
        <v>16357</v>
      </c>
      <c r="I10" s="28">
        <v>10846</v>
      </c>
      <c r="J10" s="28">
        <v>15746</v>
      </c>
      <c r="K10" s="28">
        <v>17677</v>
      </c>
      <c r="L10" s="28">
        <v>14507</v>
      </c>
      <c r="M10" s="28">
        <v>17074</v>
      </c>
    </row>
  </sheetData>
  <mergeCells count="1">
    <mergeCell ref="A1:M1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9"/>
  <sheetViews>
    <sheetView tabSelected="1" workbookViewId="0">
      <selection activeCell="H17" sqref="H17"/>
    </sheetView>
  </sheetViews>
  <sheetFormatPr defaultRowHeight="13.5"/>
  <cols>
    <col min="1" max="1" width="17.375" style="44" customWidth="1"/>
    <col min="2" max="16384" width="9" style="44"/>
  </cols>
  <sheetData>
    <row r="1" spans="1:13" ht="27">
      <c r="A1" s="53" t="s">
        <v>79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>
      <c r="A3" s="32"/>
      <c r="B3" s="31" t="s">
        <v>57</v>
      </c>
      <c r="C3" s="31" t="s">
        <v>6</v>
      </c>
      <c r="D3" s="31" t="s">
        <v>56</v>
      </c>
      <c r="E3" s="44" t="s">
        <v>8</v>
      </c>
      <c r="F3" s="31" t="s">
        <v>9</v>
      </c>
      <c r="G3" s="31" t="s">
        <v>10</v>
      </c>
      <c r="H3" s="31" t="s">
        <v>11</v>
      </c>
      <c r="I3" s="31" t="s">
        <v>12</v>
      </c>
      <c r="J3" s="31" t="s">
        <v>13</v>
      </c>
      <c r="K3" s="31" t="s">
        <v>14</v>
      </c>
      <c r="L3" s="31" t="s">
        <v>15</v>
      </c>
      <c r="M3" s="31" t="s">
        <v>16</v>
      </c>
    </row>
    <row r="4" spans="1:13">
      <c r="A4" s="32" t="s">
        <v>63</v>
      </c>
      <c r="B4" s="28">
        <f>SUM(C4:M4)</f>
        <v>330730</v>
      </c>
      <c r="C4" s="28">
        <f>SUM(C5:C9)</f>
        <v>291358</v>
      </c>
      <c r="D4" s="28">
        <f>SUM(D5:D9)</f>
        <v>688</v>
      </c>
      <c r="E4" s="28">
        <f>SUM(E5:E9)</f>
        <v>3168</v>
      </c>
      <c r="F4" s="28">
        <f>SUM(F5:F9)</f>
        <v>5178</v>
      </c>
      <c r="G4" s="28">
        <f>SUM(G5:G9)</f>
        <v>4024</v>
      </c>
      <c r="H4" s="28">
        <f>SUM(H5:H9)</f>
        <v>1494</v>
      </c>
      <c r="I4" s="28">
        <f>SUM(I5:I9)</f>
        <v>1489</v>
      </c>
      <c r="J4" s="28">
        <f>SUM(J5:J9)</f>
        <v>796</v>
      </c>
      <c r="K4" s="28">
        <f>SUM(K5:K9)</f>
        <v>853</v>
      </c>
      <c r="L4" s="28">
        <f>SUM(L5:L9)</f>
        <v>1476</v>
      </c>
      <c r="M4" s="28">
        <f>SUM(M5:M9)</f>
        <v>20206</v>
      </c>
    </row>
    <row r="5" spans="1:13">
      <c r="A5" s="39" t="s">
        <v>92</v>
      </c>
      <c r="B5" s="28">
        <f>SUM(C5:M5)</f>
        <v>224</v>
      </c>
      <c r="C5" s="28">
        <v>41</v>
      </c>
      <c r="D5" s="28">
        <v>9</v>
      </c>
      <c r="E5" s="28">
        <v>16</v>
      </c>
      <c r="F5" s="28">
        <v>9</v>
      </c>
      <c r="G5" s="28">
        <v>27</v>
      </c>
      <c r="H5" s="28">
        <v>29</v>
      </c>
      <c r="I5" s="28">
        <v>10</v>
      </c>
      <c r="J5" s="28">
        <v>43</v>
      </c>
      <c r="K5" s="28">
        <v>13</v>
      </c>
      <c r="L5" s="28">
        <v>14</v>
      </c>
      <c r="M5" s="28">
        <v>13</v>
      </c>
    </row>
    <row r="6" spans="1:13">
      <c r="A6" s="39" t="s">
        <v>50</v>
      </c>
      <c r="B6" s="28">
        <f>SUM(C6:M6)</f>
        <v>26835</v>
      </c>
      <c r="C6" s="28">
        <v>13</v>
      </c>
      <c r="D6" s="28">
        <v>12</v>
      </c>
      <c r="E6" s="28">
        <v>2275</v>
      </c>
      <c r="F6" s="28">
        <v>2972</v>
      </c>
      <c r="G6" s="28">
        <v>2918</v>
      </c>
      <c r="H6" s="28">
        <v>3</v>
      </c>
      <c r="I6" s="28"/>
      <c r="J6" s="28">
        <v>0</v>
      </c>
      <c r="K6" s="28"/>
      <c r="L6" s="28">
        <v>365</v>
      </c>
      <c r="M6" s="28">
        <v>18277</v>
      </c>
    </row>
    <row r="7" spans="1:13">
      <c r="A7" s="39" t="s">
        <v>48</v>
      </c>
      <c r="B7" s="28">
        <f>SUM(C7:M7)</f>
        <v>292813</v>
      </c>
      <c r="C7" s="28">
        <v>290000</v>
      </c>
      <c r="D7" s="28"/>
      <c r="E7" s="28">
        <v>44</v>
      </c>
      <c r="F7" s="28">
        <v>1089</v>
      </c>
      <c r="G7" s="28"/>
      <c r="H7" s="28"/>
      <c r="I7" s="28">
        <v>489</v>
      </c>
      <c r="J7" s="28"/>
      <c r="K7" s="28">
        <v>184</v>
      </c>
      <c r="L7" s="28">
        <v>37</v>
      </c>
      <c r="M7" s="28">
        <v>970</v>
      </c>
    </row>
    <row r="8" spans="1:13">
      <c r="A8" s="39" t="s">
        <v>99</v>
      </c>
      <c r="B8" s="28">
        <f>SUM(C8:M8)</f>
        <v>365</v>
      </c>
      <c r="C8" s="28">
        <v>71</v>
      </c>
      <c r="D8" s="28">
        <v>68</v>
      </c>
      <c r="E8" s="28">
        <v>112</v>
      </c>
      <c r="F8" s="28"/>
      <c r="G8" s="28">
        <v>110</v>
      </c>
      <c r="H8" s="28"/>
      <c r="I8" s="28"/>
      <c r="J8" s="28"/>
      <c r="K8" s="28">
        <v>4</v>
      </c>
      <c r="L8" s="28"/>
      <c r="M8" s="28"/>
    </row>
    <row r="9" spans="1:13">
      <c r="A9" s="39" t="s">
        <v>100</v>
      </c>
      <c r="B9" s="28">
        <f>SUM(C9:M9)</f>
        <v>10493</v>
      </c>
      <c r="C9" s="28">
        <v>1233</v>
      </c>
      <c r="D9" s="28">
        <v>599</v>
      </c>
      <c r="E9" s="28">
        <v>721</v>
      </c>
      <c r="F9" s="28">
        <v>1108</v>
      </c>
      <c r="G9" s="28">
        <v>969</v>
      </c>
      <c r="H9" s="28">
        <v>1462</v>
      </c>
      <c r="I9" s="28">
        <v>990</v>
      </c>
      <c r="J9" s="28">
        <v>753</v>
      </c>
      <c r="K9" s="28">
        <v>652</v>
      </c>
      <c r="L9" s="28">
        <v>1060</v>
      </c>
      <c r="M9" s="28">
        <v>946</v>
      </c>
    </row>
  </sheetData>
  <mergeCells count="1">
    <mergeCell ref="A1:M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分地区-公开表</vt:lpstr>
      <vt:lpstr>分地区-2021年预计</vt:lpstr>
      <vt:lpstr>一般性转移支付-公开表</vt:lpstr>
      <vt:lpstr>一般性转移支付2020预计</vt:lpstr>
      <vt:lpstr>2020年专项转移支付执行（一般公共预算）</vt:lpstr>
      <vt:lpstr>2021年专项转移支付预算（一般公共预算）</vt:lpstr>
      <vt:lpstr>2020年专项转移支付执行（政府性基金）</vt:lpstr>
      <vt:lpstr>2021年专项转移支付预算（政府性基金）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null,null,总收发</cp:lastModifiedBy>
  <cp:lastPrinted>2021-03-03T03:33:23Z</cp:lastPrinted>
  <dcterms:created xsi:type="dcterms:W3CDTF">2017-04-13T09:04:05Z</dcterms:created>
  <dcterms:modified xsi:type="dcterms:W3CDTF">2021-03-03T06:23:07Z</dcterms:modified>
</cp:coreProperties>
</file>